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3040" windowHeight="9275" tabRatio="500" firstSheet="2" activeTab="6"/>
  </bookViews>
  <sheets>
    <sheet name="Orientações" sheetId="1" state="hidden" r:id="rId1"/>
    <sheet name="Servente" sheetId="2" state="hidden" r:id="rId2"/>
    <sheet name="Auxiliar Administrativo" sheetId="11" r:id="rId3"/>
    <sheet name="Portaria" sheetId="6" r:id="rId4"/>
    <sheet name="Uniformes" sheetId="12" r:id="rId5"/>
    <sheet name="Materiais" sheetId="14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<sst xmlns="http://schemas.openxmlformats.org/spreadsheetml/2006/main" count="919" uniqueCount="284">
  <si>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</si>
  <si>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</si>
  <si>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</si>
  <si>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</si>
  <si>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</si>
  <si>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</si>
  <si>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</si>
  <si>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</si>
  <si>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</si>
  <si>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</si>
  <si>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</si>
  <si>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</si>
  <si>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</si>
  <si>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</si>
  <si>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</si>
  <si>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</si>
  <si>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</si>
  <si>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</si>
  <si>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</si>
  <si>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</si>
  <si>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</si>
  <si>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</si>
  <si>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</si>
  <si>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</si>
  <si>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</si>
  <si>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</si>
  <si>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</si>
  <si>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</si>
  <si>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</si>
  <si>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</si>
  <si>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</si>
  <si>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</si>
  <si>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</si>
  <si>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</si>
  <si>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</si>
  <si>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</si>
  <si>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</si>
  <si>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</si>
  <si>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</si>
  <si>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</si>
  <si>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</si>
  <si>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</si>
  <si>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</si>
  <si>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</si>
  <si>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</si>
  <si>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</si>
  <si>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</si>
  <si>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</si>
  <si>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</si>
  <si>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</si>
  <si>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</si>
  <si>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</si>
  <si>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</si>
  <si>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</si>
  <si>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</si>
  <si>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</si>
  <si>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</si>
  <si>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</si>
  <si>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</si>
  <si>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</si>
  <si>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</si>
  <si>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</si>
  <si>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</si>
  <si>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</si>
  <si>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</si>
  <si>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</si>
  <si>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</si>
  <si>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</si>
  <si>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</si>
  <si>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</si>
  <si>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</si>
  <si>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</si>
  <si>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</si>
  <si>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</si>
  <si>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</si>
  <si>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</si>
  <si>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</si>
  <si>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</si>
  <si>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</si>
  <si>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</si>
  <si>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</si>
  <si>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</si>
  <si>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</si>
  <si>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</si>
  <si>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</si>
  <si>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</si>
  <si>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</si>
  <si>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</si>
  <si>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</si>
  <si>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</si>
  <si>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</si>
  <si>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</si>
  <si>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</si>
  <si>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</si>
  <si>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</si>
  <si>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</si>
  <si>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</si>
  <si>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</si>
  <si>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</si>
  <si>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</si>
  <si>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</si>
  <si>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</si>
  <si>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</si>
  <si>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</si>
  <si>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</si>
  <si>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</si>
  <si>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</si>
  <si>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</si>
  <si>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</si>
  <si>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</si>
  <si>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</si>
  <si>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</si>
  <si>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</si>
  <si>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</si>
  <si>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</si>
  <si>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</si>
  <si>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</si>
  <si>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</si>
  <si>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</si>
  <si>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</si>
  <si>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</si>
  <si>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</si>
  <si>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</si>
  <si>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</si>
  <si>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</si>
  <si>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</si>
  <si>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</si>
  <si>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</si>
  <si>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</si>
  <si>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</si>
  <si>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</si>
  <si>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</si>
  <si>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</si>
  <si>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</si>
  <si>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</si>
  <si>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</si>
  <si>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</si>
  <si>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</si>
  <si>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</si>
  <si>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</si>
  <si>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</si>
  <si>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</si>
  <si>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</si>
  <si>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</si>
  <si>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</si>
  <si>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</si>
  <si>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</si>
  <si>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</si>
  <si>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</si>
  <si>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</si>
  <si>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</si>
  <si>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</si>
  <si>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</si>
  <si>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</si>
  <si>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</si>
  <si>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</si>
  <si>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</si>
  <si>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</si>
  <si>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</si>
  <si>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</si>
  <si>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</si>
  <si>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</si>
  <si>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</si>
  <si>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</si>
  <si>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</si>
  <si>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</si>
  <si>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</si>
  <si>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</si>
  <si>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</si>
  <si>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</si>
  <si>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</si>
  <si>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</si>
  <si>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</si>
  <si>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</si>
  <si>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</si>
  <si>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</si>
  <si>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</si>
  <si>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</si>
  <si>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23381.004959.2021-15</t>
    </r>
  </si>
  <si>
    <t>Licitação n°</t>
  </si>
  <si>
    <t>005/2021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</si>
  <si>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</si>
  <si>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</si>
  <si>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</si>
  <si>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</si>
  <si>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</si>
  <si>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</si>
  <si>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</si>
  <si>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</si>
  <si>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</si>
  <si>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</si>
  <si>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</si>
  <si>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</si>
  <si>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</si>
  <si>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Auxiliar Administrativo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</si>
  <si>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</si>
  <si>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</si>
  <si>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</si>
  <si>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</si>
  <si>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</si>
  <si>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</si>
  <si>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</si>
  <si>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</si>
  <si>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</si>
  <si>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</si>
  <si>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</si>
  <si>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</si>
  <si>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</si>
  <si>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</si>
  <si>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</si>
  <si>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</si>
  <si>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</si>
  <si>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</si>
  <si>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</si>
  <si>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</si>
  <si>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</si>
  <si>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</si>
  <si>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</si>
  <si>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</si>
  <si>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</si>
  <si>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</si>
  <si>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</si>
  <si>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</si>
  <si>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</si>
  <si>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</si>
  <si>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</si>
  <si>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</si>
  <si>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</si>
  <si>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</si>
  <si>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</si>
  <si>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</si>
  <si>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</si>
  <si>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Agente de Portaria</t>
  </si>
  <si>
    <t>Posto 12 x 36 horas</t>
  </si>
  <si>
    <t>5174-15</t>
  </si>
  <si>
    <t>GRUPO III</t>
  </si>
  <si>
    <t>VALOR TOTAL DO POSTO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</si>
  <si>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</si>
  <si>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</si>
  <si>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</si>
  <si>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</si>
  <si>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</si>
  <si>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</si>
  <si>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</si>
  <si>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</si>
  <si>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</si>
  <si>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</si>
  <si>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</si>
  <si>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</si>
  <si>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</si>
  <si>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</si>
  <si>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</si>
  <si>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</si>
  <si>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</si>
  <si>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</si>
  <si>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</si>
  <si>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</si>
  <si>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</si>
  <si>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</si>
  <si>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</si>
  <si>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</si>
  <si>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</si>
  <si>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</si>
  <si>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</si>
  <si>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</si>
  <si>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</si>
  <si>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</si>
  <si>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</si>
  <si>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</si>
  <si>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</si>
  <si>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</si>
  <si>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</si>
  <si>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</si>
  <si>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</si>
  <si>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</si>
  <si>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</si>
  <si>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</si>
  <si>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 (MÊS)</t>
  </si>
  <si>
    <t xml:space="preserve">VIGÊNCIA 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</si>
  <si>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</si>
  <si>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</si>
  <si>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AUXILIAR ADMINISTRATIVO - CBO: 4110-10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</si>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</sst>
</file>

<file path=xl/styles.xml><?xml version="1.0" encoding="utf-8"?>
<styleSheet xmlns="http://schemas.openxmlformats.org/spreadsheetml/2006/main">
  <numFmts count="12">
    <numFmt numFmtId="176" formatCode="&quot;R$&quot;\ #,##0.00_);[Red]\(&quot;R$&quot;\ #,##0.00\)"/>
    <numFmt numFmtId="177" formatCode="_-* #,##0_-;\-* #,##0_-;_-* &quot;-&quot;_-;_-@_-"/>
    <numFmt numFmtId="178" formatCode="&quot;R$&quot;#,##0.00_);[Red]&quot;(R$&quot;#,##0.00\)"/>
    <numFmt numFmtId="179" formatCode="&quot;R$&quot;\ #,##0.00"/>
    <numFmt numFmtId="180" formatCode="_-&quot;R$&quot;* #,##0_-;\-&quot;R$&quot;* #,##0_-;_-&quot;R$&quot;* &quot;-&quot;_-;_-@_-"/>
    <numFmt numFmtId="181" formatCode="_-* #,##0.00_-;\-* #,##0.00_-;_-* &quot;-&quot;??_-;_-@_-"/>
    <numFmt numFmtId="182" formatCode="_-&quot;R$ &quot;* #,##0.00_-;&quot;-R$ &quot;* #,##0.00_-;_-&quot;R$ &quot;* \-??_-;_-@_-"/>
    <numFmt numFmtId="183" formatCode="&quot;R$&quot;#,##0.00_);[Red]\(&quot;R$&quot;#,##0.00\)"/>
    <numFmt numFmtId="184" formatCode="&quot;R$ &quot;#,##0.00"/>
    <numFmt numFmtId="185" formatCode="0.00_ "/>
    <numFmt numFmtId="186" formatCode="0.0000_ "/>
    <numFmt numFmtId="187" formatCode="&quot;R$&quot;#,##0.00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b/>
      <sz val="15"/>
      <color theme="3"/>
      <name val="Calibri"/>
      <charset val="134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80" fontId="21" fillId="0" borderId="0" applyBorder="0" applyAlignment="0" applyProtection="0"/>
    <xf numFmtId="177" fontId="21" fillId="0" borderId="0" applyBorder="0" applyAlignment="0" applyProtection="0"/>
    <xf numFmtId="0" fontId="26" fillId="18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20" applyNumberFormat="0" applyFill="0" applyAlignment="0" applyProtection="0">
      <alignment vertical="center"/>
    </xf>
    <xf numFmtId="0" fontId="28" fillId="19" borderId="19" applyNumberFormat="0" applyAlignment="0" applyProtection="0">
      <alignment vertical="center"/>
    </xf>
    <xf numFmtId="181" fontId="21" fillId="0" borderId="0" applyBorder="0" applyAlignment="0" applyProtection="0"/>
    <xf numFmtId="0" fontId="26" fillId="23" borderId="0" applyNumberFormat="0" applyBorder="0" applyAlignment="0" applyProtection="0">
      <alignment vertical="center"/>
    </xf>
    <xf numFmtId="182" fontId="0" fillId="0" borderId="0" applyBorder="0" applyProtection="0"/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4" fillId="17" borderId="18" applyNumberFormat="0" applyFon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37" borderId="22" applyNumberFormat="0" applyAlignment="0" applyProtection="0">
      <alignment vertical="center"/>
    </xf>
    <xf numFmtId="0" fontId="30" fillId="22" borderId="21" applyNumberFormat="0" applyAlignment="0" applyProtection="0">
      <alignment vertical="center"/>
    </xf>
    <xf numFmtId="0" fontId="36" fillId="22" borderId="22" applyNumberFormat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5" borderId="0" applyNumberFormat="0" applyBorder="0" applyAlignment="0" applyProtection="0">
      <alignment vertical="center"/>
    </xf>
  </cellStyleXfs>
  <cellXfs count="14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6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9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9" fontId="3" fillId="0" borderId="0" xfId="0" applyNumberFormat="1" applyFont="1" applyFill="1" applyAlignment="1">
      <alignment horizontal="center" vertical="center" wrapText="1"/>
    </xf>
    <xf numFmtId="179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10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left" wrapText="1"/>
    </xf>
    <xf numFmtId="0" fontId="7" fillId="12" borderId="0" xfId="0" applyFont="1" applyFill="1" applyBorder="1" applyAlignment="1">
      <alignment horizontal="left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10" borderId="6" xfId="0" applyFont="1" applyFill="1" applyBorder="1" applyAlignment="1">
      <alignment horizontal="center"/>
    </xf>
    <xf numFmtId="0" fontId="0" fillId="11" borderId="7" xfId="0" applyFont="1" applyFill="1" applyBorder="1" applyAlignment="1">
      <alignment horizontal="center"/>
    </xf>
    <xf numFmtId="0" fontId="0" fillId="11" borderId="8" xfId="0" applyFont="1" applyFill="1" applyBorder="1"/>
    <xf numFmtId="0" fontId="0" fillId="13" borderId="8" xfId="0" applyFont="1" applyFill="1" applyBorder="1" applyAlignment="1">
      <alignment horizontal="center"/>
    </xf>
    <xf numFmtId="0" fontId="0" fillId="14" borderId="9" xfId="0" applyFont="1" applyFill="1" applyBorder="1" applyAlignment="1">
      <alignment horizontal="center"/>
    </xf>
    <xf numFmtId="0" fontId="0" fillId="14" borderId="10" xfId="0" applyFont="1" applyFill="1" applyBorder="1"/>
    <xf numFmtId="0" fontId="0" fillId="13" borderId="10" xfId="0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0" fillId="11" borderId="10" xfId="0" applyFont="1" applyFill="1" applyBorder="1"/>
    <xf numFmtId="0" fontId="14" fillId="10" borderId="4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 wrapText="1"/>
    </xf>
    <xf numFmtId="0" fontId="14" fillId="10" borderId="12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184" fontId="0" fillId="13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0" fontId="15" fillId="0" borderId="0" xfId="0" applyFont="1"/>
    <xf numFmtId="184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4" fontId="0" fillId="0" borderId="0" xfId="0" applyNumberFormat="1" applyAlignment="1">
      <alignment horizontal="center"/>
    </xf>
    <xf numFmtId="0" fontId="14" fillId="10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4" fillId="10" borderId="0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178" fontId="0" fillId="13" borderId="14" xfId="0" applyNumberFormat="1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178" fontId="7" fillId="13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 vertical="center"/>
    </xf>
    <xf numFmtId="10" fontId="0" fillId="13" borderId="0" xfId="4" applyNumberFormat="1" applyFont="1" applyFill="1" applyBorder="1" applyAlignment="1" applyProtection="1">
      <alignment horizontal="center"/>
    </xf>
    <xf numFmtId="184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4" fontId="0" fillId="13" borderId="0" xfId="0" applyNumberFormat="1" applyFill="1" applyAlignment="1">
      <alignment horizontal="center" vertical="center"/>
    </xf>
    <xf numFmtId="184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4" fontId="0" fillId="8" borderId="0" xfId="0" applyNumberFormat="1" applyFill="1" applyAlignment="1">
      <alignment horizontal="center"/>
    </xf>
    <xf numFmtId="0" fontId="14" fillId="10" borderId="0" xfId="0" applyFont="1" applyFill="1" applyBorder="1" applyAlignment="1">
      <alignment horizontal="center" wrapText="1"/>
    </xf>
    <xf numFmtId="185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84" fontId="16" fillId="0" borderId="0" xfId="0" applyNumberFormat="1" applyFont="1" applyAlignment="1">
      <alignment vertical="center"/>
    </xf>
    <xf numFmtId="184" fontId="16" fillId="0" borderId="0" xfId="0" applyNumberFormat="1" applyFont="1" applyAlignment="1">
      <alignment horizontal="center"/>
    </xf>
    <xf numFmtId="184" fontId="17" fillId="13" borderId="0" xfId="0" applyNumberFormat="1" applyFont="1" applyFill="1" applyAlignment="1">
      <alignment horizontal="center"/>
    </xf>
    <xf numFmtId="184" fontId="0" fillId="0" borderId="0" xfId="0" applyNumberFormat="1" applyAlignment="1">
      <alignment horizontal="center" vertical="center"/>
    </xf>
    <xf numFmtId="184" fontId="8" fillId="13" borderId="0" xfId="0" applyNumberFormat="1" applyFont="1" applyFill="1" applyAlignment="1">
      <alignment horizontal="center"/>
    </xf>
    <xf numFmtId="184" fontId="8" fillId="13" borderId="0" xfId="0" applyNumberFormat="1" applyFont="1" applyFill="1" applyAlignment="1">
      <alignment horizontal="center"/>
    </xf>
    <xf numFmtId="0" fontId="14" fillId="10" borderId="12" xfId="0" applyFont="1" applyFill="1" applyBorder="1" applyAlignment="1">
      <alignment horizontal="center" vertical="center"/>
    </xf>
    <xf numFmtId="10" fontId="8" fillId="13" borderId="0" xfId="4" applyNumberFormat="1" applyFont="1" applyFill="1" applyBorder="1" applyAlignment="1" applyProtection="1">
      <alignment horizontal="center"/>
    </xf>
    <xf numFmtId="0" fontId="0" fillId="11" borderId="8" xfId="0" applyFont="1" applyFill="1" applyBorder="1" applyAlignment="1">
      <alignment horizontal="left" vertical="center"/>
    </xf>
    <xf numFmtId="0" fontId="0" fillId="14" borderId="14" xfId="0" applyFont="1" applyFill="1" applyBorder="1" applyAlignment="1">
      <alignment horizontal="left" vertical="center"/>
    </xf>
    <xf numFmtId="178" fontId="0" fillId="13" borderId="0" xfId="0" applyNumberFormat="1" applyFill="1"/>
    <xf numFmtId="186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10" borderId="0" xfId="0" applyFont="1" applyFill="1"/>
    <xf numFmtId="0" fontId="14" fillId="10" borderId="0" xfId="0" applyFont="1" applyFill="1" applyAlignment="1">
      <alignment horizontal="center" vertical="center"/>
    </xf>
    <xf numFmtId="184" fontId="14" fillId="10" borderId="0" xfId="0" applyNumberFormat="1" applyFont="1" applyFill="1" applyAlignment="1">
      <alignment horizontal="center"/>
    </xf>
    <xf numFmtId="0" fontId="18" fillId="10" borderId="0" xfId="0" applyFont="1" applyFill="1" applyAlignment="1">
      <alignment wrapText="1"/>
    </xf>
    <xf numFmtId="0" fontId="14" fillId="10" borderId="0" xfId="0" applyFont="1" applyFill="1" applyAlignment="1">
      <alignment horizontal="center" vertical="center" wrapText="1"/>
    </xf>
    <xf numFmtId="184" fontId="14" fillId="10" borderId="0" xfId="0" applyNumberFormat="1" applyFont="1" applyFill="1" applyAlignment="1">
      <alignment horizontal="center" wrapText="1"/>
    </xf>
    <xf numFmtId="184" fontId="0" fillId="8" borderId="0" xfId="0" applyNumberFormat="1" applyFill="1" applyAlignment="1">
      <alignment horizontal="center" vertical="center"/>
    </xf>
    <xf numFmtId="0" fontId="16" fillId="0" borderId="0" xfId="0" applyFont="1" applyAlignment="1">
      <alignment horizontal="center"/>
    </xf>
    <xf numFmtId="184" fontId="8" fillId="13" borderId="0" xfId="0" applyNumberFormat="1" applyFont="1" applyFill="1" applyAlignment="1">
      <alignment horizontal="center" vertical="center"/>
    </xf>
    <xf numFmtId="183" fontId="0" fillId="13" borderId="0" xfId="0" applyNumberFormat="1" applyFill="1" applyAlignment="1">
      <alignment horizontal="center" vertical="center"/>
    </xf>
    <xf numFmtId="178" fontId="0" fillId="13" borderId="0" xfId="0" applyNumberFormat="1" applyFill="1" applyAlignment="1">
      <alignment horizontal="center"/>
    </xf>
    <xf numFmtId="0" fontId="8" fillId="0" borderId="0" xfId="0" applyFont="1"/>
    <xf numFmtId="0" fontId="7" fillId="0" borderId="15" xfId="0" applyFont="1" applyBorder="1" applyAlignment="1">
      <alignment horizontal="center"/>
    </xf>
    <xf numFmtId="182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4" fontId="0" fillId="0" borderId="0" xfId="0" applyNumberFormat="1" applyFont="1" applyAlignment="1">
      <alignment horizontal="center" vertical="center" wrapText="1"/>
    </xf>
    <xf numFmtId="184" fontId="18" fillId="10" borderId="0" xfId="0" applyNumberFormat="1" applyFont="1" applyFill="1" applyAlignment="1">
      <alignment horizontal="center"/>
    </xf>
    <xf numFmtId="0" fontId="7" fillId="15" borderId="16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left" vertical="center" wrapText="1"/>
    </xf>
    <xf numFmtId="0" fontId="0" fillId="15" borderId="0" xfId="0" applyFont="1" applyFill="1" applyBorder="1" applyAlignment="1">
      <alignment horizontal="left" wrapText="1"/>
    </xf>
    <xf numFmtId="0" fontId="7" fillId="15" borderId="0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16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6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5:D82" totalsRowCount="1">
  <autoFilter ref="A75:D81"/>
  <tableColumns count="4">
    <tableColumn id="1" name="3" totalsRowLabel="Total" dataDxfId="82"/>
    <tableColumn id="2" name="Provisão para Rescisão" dataDxfId="83"/>
    <tableColumn id="3" name="Percentual" totalsRowFunction="custom">
      <totalsRowFormula>SUM(C76:C81)</totalsRowFormula>
       dataDxfId="84"
    </tableColumn>
    <tableColumn id="4" name="Valor" totalsRowFunction="custom">
      <totalsRowFormula>TRUNC((SUM(D76:D81)),2)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8:D135" totalsRowCount="1">
  <tableColumns count="4">
    <tableColumn id="1" name="6" totalsRowLabel="Total" dataDxfId="86"/>
    <tableColumn id="2" name="Custos Indiretos, Tributos e Lucro" dataDxfId="87"/>
    <tableColumn id="3" name="Percentual" dataDxfId="88"/>
    <tableColumn id="4" name="Valor" totalsRowFunction="custom">
      <totalsRowFormula>SUM(D129:D131)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90"/>
    <tableColumn id="2" name="Descrição" dataDxfId="91"/>
    <tableColumn id="3" name="Comentário" dataDxfId="92"/>
    <tableColumn id="4" name="Valor" dataDxfId="93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1:D103" totalsRowCount="1">
  <autoFilter ref="A101:D102"/>
  <tableColumns count="4">
    <tableColumn id="1" name="4.2" totalsRowLabel="Total" dataDxfId="94"/>
    <tableColumn id="2" name="Substituto na Intrajornada " dataDxfId="95"/>
    <tableColumn id="3" name="Comentário" dataDxfId="96"/>
    <tableColumn id="4" name="Valor" totalsRowFunction="custom">
      <totalsRowFormula>D102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39:D147" totalsRowShown="0">
  <autoFilter ref="A139:D147"/>
  <tableColumns count="4">
    <tableColumn id="1" name="Item" dataDxfId="98"/>
    <tableColumn id="2" name="Mão de obra vinculada à execução contratual" dataDxfId="99"/>
    <tableColumn id="3" name="-" dataDxfId="100"/>
    <tableColumn id="4" name="Valor" dataDxfId="101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02"/>
    <tableColumn id="2" name="Composição da Remuneração" dataDxfId="103"/>
    <tableColumn id="3" name="Comentário" dataDxfId="104"/>
    <tableColumn id="4" name="Valor" totalsRowFunction="custom">
      <totalsRowFormula>TRUNC((SUM(D25:D30)),2)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1:D98" totalsRowCount="1">
  <autoFilter ref="A91:D97"/>
  <tableColumns count="4">
    <tableColumn id="1" name="4.1" totalsRowLabel="Total" dataDxfId="106"/>
    <tableColumn id="2" name="Substituto nas Ausências Legais" dataDxfId="107"/>
    <tableColumn id="3" name="Percentual" totalsRowFunction="custom">
      <totalsRowFormula>SUM(C92:C97)</totalsRowFormula>
       dataDxfId="108"
    </tableColumn>
    <tableColumn id="4" name="Valor" totalsRowFunction="custom">
      <totalsRowFormula>TRUNC((SUM(D92:D97)),2)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10"/>
    <tableColumn id="2" name="13º (décimo terceiro) Salário, Férias e Adicional de Férias" dataDxfId="111"/>
    <tableColumn id="3" name="Percentual" dataDxfId="112"/>
    <tableColumn id="4" name="Valor" totalsRowFunction="custom">
      <totalsRowFormula>TRUNC((SUM(D37:D38)),2)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5" totalsRowCount="1">
  <autoFilter ref="A58:D64"/>
  <tableColumns count="4">
    <tableColumn id="1" name="2.3" totalsRowLabel="Total" dataDxfId="114"/>
    <tableColumn id="2" name="Benefícios Mensais e Diários" dataDxfId="115"/>
    <tableColumn id="3" name="Comentário" dataDxfId="116"/>
    <tableColumn id="4" name="Valor" totalsRowFunction="custom">
      <totalsRowFormula>TRUNC((SUM(D59:D64)),2)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8:D72" totalsRowCount="1">
  <autoFilter ref="A68:D71"/>
  <tableColumns count="4">
    <tableColumn id="1" name="2" totalsRowLabel="Total" dataDxfId="118"/>
    <tableColumn id="2" name="Encargos e Benefícios Anuais, Mensais e Diários" dataDxfId="119"/>
    <tableColumn id="3" name="Comentário" dataDxfId="120"/>
    <tableColumn id="4" name="Valor" totalsRowFunction="custom">
      <totalsRowFormula>TRUNC((SUM(D69:D71)),2)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22"/>
    <tableColumn id="2" name="GPS, FGTS e outras contribuições" dataDxfId="123"/>
    <tableColumn id="3" name="Percentual" totalsRowFunction="custom">
      <totalsRowFormula>SUM(C47:C54)</totalsRowFormula>
       dataDxfId="124"
    </tableColumn>
    <tableColumn id="4" name="Valor " totalsRowFunction="custom">
      <totalsRowFormula>TRUNC((SUM(D47:D54)),2)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6:D109" totalsRowCount="1">
  <autoFilter ref="A106:D108"/>
  <tableColumns count="4">
    <tableColumn id="1" name="4" totalsRowLabel="Total" dataDxfId="126"/>
    <tableColumn id="2" name="Custo de Reposição do Profissional Ausente" dataDxfId="127"/>
    <tableColumn id="3" name="Comentário" totalsRowLabel="*Nota: Se o titular USUFRUIR do descanso intrajornada, o total é o somatório dos subitens 4.1 e 4.2" dataDxfId="128"/>
    <tableColumn id="4" name="Valor" totalsRowFunction="custom">
      <totalsRowFormula>TRUNC((SUM(D107:D108)),2)</totalsRowFormula>
       dataDxfId="129"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2:D118" totalsRowCount="1">
  <autoFilter ref="A112:D117"/>
  <tableColumns count="4">
    <tableColumn id="1" name="5" totalsRowLabel="Total" dataDxfId="130"/>
    <tableColumn id="2" name="Insumos Diversos" dataDxfId="131"/>
    <tableColumn id="3" name="Comentário" dataDxfId="132"/>
    <tableColumn id="4" name="Valor" totalsRowFunction="custom">
      <totalsRowFormula>TRUNC(SUM(D113:D117),2)</totalsRowFormula>
       dataDxfId="133"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34"/>
    <tableColumn id="2" name="Composição da Remuneração" dataDxfId="135"/>
    <tableColumn id="3" name="Comentário" dataDxfId="136"/>
    <tableColumn id="4" name="Valor" totalsRowFunction="custom">
      <totalsRowFormula>TRUNC((SUM(D25:D30)),2)</totalsRowFormula>
       dataDxfId="137"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52" name="Submódulo2.356_53" displayName="Submódulo2.356_53" ref="A58:D65" totalsRowCount="1">
  <autoFilter ref="A58:D64"/>
  <tableColumns count="4">
    <tableColumn id="1" name="2.3" totalsRowLabel="Total" dataDxfId="138"/>
    <tableColumn id="2" name="Benefícios Mensais e Diários" dataDxfId="139"/>
    <tableColumn id="3" name="Comentário" dataDxfId="140"/>
    <tableColumn id="4" name="Valor" totalsRowFunction="custom">
      <totalsRowFormula>TRUNC((SUM(D59:D64)),2)</totalsRowFormula>
       dataDxfId="141"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53" name="Submódulo4.159_54" displayName="Submódulo4.159_54" ref="A91:D98" totalsRowCount="1">
  <autoFilter ref="A91:D97"/>
  <tableColumns count="4">
    <tableColumn id="1" name="4.1" totalsRowLabel="Total" dataDxfId="142"/>
    <tableColumn id="2" name="Substituto nas Ausências Legais" dataDxfId="143"/>
    <tableColumn id="3" name="Percentual" totalsRowFunction="custom">
      <totalsRowFormula>SUM(C92:C97)</totalsRowFormula>
       dataDxfId="144"
    </tableColumn>
    <tableColumn id="4" name="Valor" totalsRowFunction="custom">
      <totalsRowFormula>TRUNC((SUM(D92:D97)),2)</totalsRowFormula>
       dataDxfId="145"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54" name="Submódulo4.260_55" displayName="Submódulo4.260_55" ref="A101:D103" totalsRowCount="1">
  <autoFilter ref="A101:D102"/>
  <tableColumns count="4">
    <tableColumn id="1" name="4.2" totalsRowLabel="Total" dataDxfId="146"/>
    <tableColumn id="2" name="Substituto na Intrajornada " dataDxfId="147"/>
    <tableColumn id="3" name="Comentário" dataDxfId="148"/>
    <tableColumn id="4" name="Valor" totalsRowFunction="custom">
      <totalsRowFormula>D102</totalsRowFormula>
       dataDxfId="149"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55" name="Table452_56" displayName="Table452_56" ref="A16:D21" totalsRowShown="0">
  <tableColumns count="4">
    <tableColumn id="1" name="Item" dataDxfId="150"/>
    <tableColumn id="2" name="Descrição" dataDxfId="151"/>
    <tableColumn id="3" name="Comentário" dataDxfId="152"/>
    <tableColumn id="4" name="Valor" dataDxfId="153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56" name="Módulo358_57" displayName="Módulo358_57" ref="A75:D82" totalsRowCount="1">
  <autoFilter ref="A75:D81"/>
  <tableColumns count="4">
    <tableColumn id="1" name="3" totalsRowLabel="Total" dataDxfId="154"/>
    <tableColumn id="2" name="Provisão para Rescisão" dataDxfId="155"/>
    <tableColumn id="3" name="Percentual" totalsRowFunction="custom">
      <totalsRowFormula>SUM(C76:C81)</totalsRowFormula>
       dataDxfId="156"
    </tableColumn>
    <tableColumn id="4" name="Valor" totalsRowFunction="custom">
      <totalsRowFormula>TRUNC((SUM(D76:D81)),2)</totalsRowFormula>
       dataDxfId="157"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57" name="Módulo562_58" displayName="Módulo562_58" ref="A112:D118" totalsRowCount="1">
  <autoFilter ref="A112:D117"/>
  <tableColumns count="4">
    <tableColumn id="1" name="5" totalsRowLabel="Total" dataDxfId="158"/>
    <tableColumn id="2" name="Insumos Diversos" dataDxfId="159"/>
    <tableColumn id="3" name="Comentário" dataDxfId="160"/>
    <tableColumn id="4" name="Valor" totalsRowFunction="custom">
      <totalsRowFormula>TRUNC(SUM(D113:D117),2)</totalsRowFormula>
       dataDxfId="161"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58" name="Módulo663_59" displayName="Módulo663_59" ref="A128:D135" totalsRowCount="1">
  <tableColumns count="4">
    <tableColumn id="1" name="6" totalsRowLabel="Total" dataDxfId="162"/>
    <tableColumn id="2" name="Custos Indiretos, Tributos e Lucro" dataDxfId="163"/>
    <tableColumn id="3" name="Percentual" dataDxfId="164"/>
    <tableColumn id="4" name="Valor" totalsRowFunction="custom">
      <totalsRowFormula>TRUNC(SUM(D129:D131),2)</totalsRowFormula>
       dataDxfId="165"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59" name="ResumoMódulo257_60" displayName="ResumoMódulo257_60" ref="A68:D72" totalsRowCount="1">
  <autoFilter ref="A68:D71"/>
  <tableColumns count="4">
    <tableColumn id="1" name="2" totalsRowLabel="Total" dataDxfId="166"/>
    <tableColumn id="2" name="Encargos e Benefícios Anuais, Mensais e Diários" dataDxfId="167"/>
    <tableColumn id="3" name="Comentário" dataDxfId="168"/>
    <tableColumn id="4" name="Valor" totalsRowFunction="custom">
      <totalsRowFormula>TRUNC((SUM(D69:D71)),2)</totalsRowFormula>
       dataDxfId="169"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70"/>
    <tableColumn id="2" name="13º (décimo terceiro) Salário, Férias e Adicional de Férias" dataDxfId="171"/>
    <tableColumn id="3" name="Percentual" dataDxfId="172"/>
    <tableColumn id="4" name="Valor" totalsRowFunction="custom">
      <totalsRowFormula>TRUNC((SUM(D37:D38)),2)</totalsRowFormula>
       dataDxfId="173"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61" name="ResumoMódulo461_62" displayName="ResumoMódulo461_62" ref="A106:D109" totalsRowCount="1">
  <autoFilter ref="A106:D108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TRUNC((SUM(D107:D108)),2)</totalsRowFormula>
       dataDxfId="177"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78"/>
    <tableColumn id="2" name="GPS, FGTS e outras contribuições" dataDxfId="179"/>
    <tableColumn id="3" name="Percentual" totalsRowFunction="custom">
      <totalsRowFormula>SUM(C47:C54)</totalsRowFormula>
       dataDxfId="180"
    </tableColumn>
    <tableColumn id="4" name="Valor " totalsRowFunction="custom">
      <totalsRowFormula>TRUNC((SUM(D47:D54)),2)</totalsRowFormula>
       dataDxfId="181"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63" name="ResumoPosto64_64" displayName="ResumoPosto64_64" ref="A139:D148" totalsRowShown="0">
  <autoFilter ref="A139:D148"/>
  <tableColumns count="4">
    <tableColumn id="1" name="Item" dataDxfId="182"/>
    <tableColumn id="2" name="Mão de obra vinculada à execução contratual" dataDxfId="183"/>
    <tableColumn id="3" name="-" dataDxfId="184"/>
    <tableColumn id="4" name="Valor" dataDxfId="185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1" name="Table43_14365" displayName="Table43_14365" ref="A3:H10">
  <autoFilter ref="A3:H10"/>
  <tableColumns count="8">
    <tableColumn id="1" name="ITEM" totalsRowLabel="Total" dataDxfId="186"/>
    <tableColumn id="2" name="PEÇA" dataDxfId="187"/>
    <tableColumn id="3" name="DESCRIÇÃO" dataDxfId="188"/>
    <tableColumn id="4" name="UNIDADE" dataDxfId="189"/>
    <tableColumn id="5" name="VALOR MÉDIO UNITÁRIO (R$)" dataDxfId="190"/>
    <tableColumn id="6" name="QUANTIDADE ANUAL" dataDxfId="191"/>
    <tableColumn id="7" name="VALOR ANUAL POR EMPREGADO (R$)" dataDxfId="192"/>
    <tableColumn id="8" name="VALOR MENSAL POR EMPREGADO (R$)" totalsRowFunction="sum" dataDxfId="193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9" name="Table43_143656667" displayName="Table43_143656667" ref="A18:H25">
  <autoFilter ref="A18:H25"/>
  <tableColumns count="8">
    <tableColumn id="1" name="ITEM" totalsRowLabel="Total" dataDxfId="194"/>
    <tableColumn id="2" name="PEÇA" dataDxfId="195"/>
    <tableColumn id="3" name="DESCRIÇÃO" dataDxfId="196"/>
    <tableColumn id="4" name="UNIDADE" dataDxfId="197"/>
    <tableColumn id="5" name="VALOR MÉDIO UNITÁRIO (R$)" dataDxfId="198"/>
    <tableColumn id="6" name="QUANTIDADE ANUAL" dataDxfId="199"/>
    <tableColumn id="7" name="VALOR ANUAL POR EMPREGADO (R$)" dataDxfId="200"/>
    <tableColumn id="8" name="VALOR MENSAL POR EMPREGADO (R$)" totalsRowFunction="sum" dataDxfId="201"/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02"/>
    <tableColumn id="2" name="Peça" dataDxfId="203"/>
    <tableColumn id="3" name="Descrição" dataDxfId="204"/>
    <tableColumn id="4" name="Valor Médio Unitário (R$)" dataDxfId="205"/>
    <tableColumn id="5" name="Quantidade Anual" dataDxfId="206"/>
    <tableColumn id="6" name="Valor Anual/ Empregado (R$)" dataDxfId="207"/>
    <tableColumn id="7" name="Valor Mensal/ Empregado" totalsRowFunction="sum" dataDxfId="208"/>
  </tableColumns>
  <tableStyleInfo name="TableStyleMedium14" showFirstColumn="0" showLastColumn="0" showRowStripes="1" showColumnStripes="0"/>
</table>
</file>

<file path=xl/tables/table52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209"/>
    <tableColumn id="2" name="Descrição" dataDxfId="210"/>
    <tableColumn id="7" name="Unidade" dataDxfId="211"/>
    <tableColumn id="3" name="Quantidade (MÊS)" dataDxfId="212"/>
    <tableColumn id="6" name="VIGÊNCIA " dataDxfId="213"/>
    <tableColumn id="4" name="VALOR UNITÁRIO MÁXIMO ACEITÁVEL" dataDxfId="214"/>
    <tableColumn id="5" name="VALOR TOTAL MÁXIMO ACEITÁVEL" totalsRowFunction="custom">
      <totalsRowFormula>SUM(G3:G4)</totalsRowFormula>
       dataDxfId="215"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ht="57" customHeight="1" spans="1:11">
      <c r="A2" s="139" t="s">
        <v>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ht="51" customHeight="1" spans="1:11">
      <c r="A3" s="139" t="s">
        <v>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ht="54.75" customHeight="1" spans="1:11">
      <c r="A4" s="139" t="s">
        <v>3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</row>
    <row r="5" ht="67.5" customHeight="1" spans="1:11">
      <c r="A5" s="140" t="s">
        <v>4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6" ht="84.75" customHeight="1" spans="1:11">
      <c r="A6" s="140" t="s">
        <v>5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</row>
    <row r="7" ht="49.5" customHeight="1" spans="1:11">
      <c r="A7" s="140" t="s">
        <v>6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ht="38.25" customHeight="1" spans="1:11">
      <c r="A8" s="140" t="s">
        <v>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ht="39.75" customHeight="1" spans="1:11">
      <c r="A9" s="139" t="s">
        <v>8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</row>
    <row r="10" ht="41.25" customHeight="1" spans="1:11">
      <c r="A10" s="139" t="s">
        <v>9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</row>
    <row r="11" ht="41.25" customHeight="1" spans="1:11">
      <c r="A11" s="141" t="s">
        <v>10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  <row r="12" spans="1:11">
      <c r="A12" s="142" t="s">
        <v>11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</row>
    <row r="13" spans="1:11">
      <c r="A13" s="143" t="s">
        <v>12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</row>
    <row r="14" spans="1:11">
      <c r="A14" s="143" t="s">
        <v>13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24" t="s">
        <v>14</v>
      </c>
      <c r="B1" s="124"/>
      <c r="C1" s="124"/>
      <c r="D1" s="124"/>
      <c r="F1" s="63" t="s">
        <v>15</v>
      </c>
      <c r="G1" s="63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</row>
    <row r="2" spans="1:21">
      <c r="A2" s="64" t="s">
        <v>16</v>
      </c>
      <c r="B2" t="s">
        <v>17</v>
      </c>
      <c r="C2" s="64" t="s">
        <v>18</v>
      </c>
      <c r="D2" s="64" t="s">
        <v>19</v>
      </c>
      <c r="F2" s="70" t="s">
        <v>17</v>
      </c>
      <c r="G2" s="70" t="s">
        <v>19</v>
      </c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>
      <c r="A3" s="64">
        <v>1</v>
      </c>
      <c r="B3" t="s">
        <v>20</v>
      </c>
      <c r="C3" s="64"/>
      <c r="D3" s="64" t="s">
        <v>21</v>
      </c>
      <c r="F3" t="s">
        <v>22</v>
      </c>
      <c r="G3" s="125">
        <v>0</v>
      </c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>
      <c r="A4" s="64">
        <v>2</v>
      </c>
      <c r="B4" t="s">
        <v>23</v>
      </c>
      <c r="C4" s="64"/>
      <c r="D4" s="64" t="s">
        <v>24</v>
      </c>
      <c r="F4" t="s">
        <v>25</v>
      </c>
      <c r="G4" s="125">
        <v>12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>
      <c r="A5" s="64">
        <v>3</v>
      </c>
      <c r="B5" t="s">
        <v>26</v>
      </c>
      <c r="C5" s="64" t="s">
        <v>27</v>
      </c>
      <c r="D5" s="126">
        <v>998</v>
      </c>
      <c r="F5" t="s">
        <v>28</v>
      </c>
      <c r="G5" s="65">
        <v>22</v>
      </c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>
      <c r="A6" s="64">
        <v>4</v>
      </c>
      <c r="B6" t="s">
        <v>29</v>
      </c>
      <c r="C6" s="64" t="s">
        <v>30</v>
      </c>
      <c r="D6" s="64" t="s">
        <v>31</v>
      </c>
      <c r="F6" t="s">
        <v>32</v>
      </c>
      <c r="G6" s="127">
        <v>0.03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>
      <c r="A7" s="64">
        <v>5</v>
      </c>
      <c r="B7" t="s">
        <v>33</v>
      </c>
      <c r="C7" s="64"/>
      <c r="D7" s="64" t="s">
        <v>34</v>
      </c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6:21">
      <c r="F8" s="63" t="s">
        <v>35</v>
      </c>
      <c r="G8" s="63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</row>
    <row r="9" spans="1:21">
      <c r="A9" s="47" t="s">
        <v>36</v>
      </c>
      <c r="B9" s="47"/>
      <c r="C9" s="47"/>
      <c r="D9" s="47"/>
      <c r="F9" s="70" t="s">
        <v>37</v>
      </c>
      <c r="G9" s="70" t="s">
        <v>38</v>
      </c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>
      <c r="A10" s="64" t="s">
        <v>39</v>
      </c>
      <c r="B10" s="70" t="s">
        <v>40</v>
      </c>
      <c r="C10" s="64" t="s">
        <v>18</v>
      </c>
      <c r="D10" s="64" t="s">
        <v>19</v>
      </c>
      <c r="F10" t="s">
        <v>41</v>
      </c>
      <c r="G10" s="71">
        <v>0.4337</v>
      </c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>
      <c r="A11" s="64" t="s">
        <v>42</v>
      </c>
      <c r="B11" t="s">
        <v>43</v>
      </c>
      <c r="C11" s="64"/>
      <c r="D11" s="72">
        <f>Salário_Normativo_da_Categoria_Profissional</f>
        <v>998</v>
      </c>
      <c r="F11" t="s">
        <v>44</v>
      </c>
      <c r="G11" s="71">
        <v>0.4337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>
      <c r="A12" s="64" t="s">
        <v>45</v>
      </c>
      <c r="B12" t="s">
        <v>46</v>
      </c>
      <c r="C12" s="64"/>
      <c r="D12" s="72"/>
      <c r="F12" t="s">
        <v>47</v>
      </c>
      <c r="G12" s="71">
        <v>0.0218</v>
      </c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>
      <c r="A13" s="64" t="s">
        <v>48</v>
      </c>
      <c r="B13" t="s">
        <v>49</v>
      </c>
      <c r="C13" s="64"/>
      <c r="D13" s="72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>
      <c r="A14" s="64" t="s">
        <v>50</v>
      </c>
      <c r="B14" t="s">
        <v>51</v>
      </c>
      <c r="C14" s="64"/>
      <c r="D14" s="72"/>
      <c r="F14" s="63" t="s">
        <v>52</v>
      </c>
      <c r="G14" s="63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>
      <c r="A15" s="64" t="s">
        <v>53</v>
      </c>
      <c r="B15" t="s">
        <v>54</v>
      </c>
      <c r="C15" s="64"/>
      <c r="D15" s="72"/>
      <c r="F15" s="128" t="s">
        <v>17</v>
      </c>
      <c r="G15" s="128" t="s">
        <v>38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>
      <c r="A16" s="64" t="s">
        <v>55</v>
      </c>
      <c r="B16" t="s">
        <v>56</v>
      </c>
      <c r="C16" s="64"/>
      <c r="D16" s="72"/>
      <c r="F16" s="75" t="s">
        <v>57</v>
      </c>
      <c r="G16" s="129">
        <v>0.0471</v>
      </c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>
      <c r="A17" s="64" t="s">
        <v>58</v>
      </c>
      <c r="C17" s="64"/>
      <c r="D17" s="72">
        <f>SUBTOTAL(109,Módulo1[Valor])</f>
        <v>998</v>
      </c>
      <c r="F17" s="75" t="s">
        <v>59</v>
      </c>
      <c r="G17" s="129">
        <v>0.0467</v>
      </c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6:21">
      <c r="F18" s="75" t="s">
        <v>60</v>
      </c>
      <c r="G18" s="130">
        <v>0.0165</v>
      </c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</row>
    <row r="19" spans="1:21">
      <c r="A19" s="73" t="s">
        <v>61</v>
      </c>
      <c r="B19" s="73"/>
      <c r="C19" s="73"/>
      <c r="D19" s="73"/>
      <c r="F19" s="75" t="s">
        <v>62</v>
      </c>
      <c r="G19" s="130">
        <v>0.076</v>
      </c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</row>
    <row r="20" spans="1:21">
      <c r="A20" s="63" t="s">
        <v>63</v>
      </c>
      <c r="B20" s="63"/>
      <c r="C20" s="63"/>
      <c r="D20" s="63"/>
      <c r="F20" s="75" t="s">
        <v>64</v>
      </c>
      <c r="G20" s="130">
        <v>0.05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</row>
    <row r="21" spans="1:21">
      <c r="A21" s="64" t="s">
        <v>65</v>
      </c>
      <c r="B21" s="70" t="s">
        <v>66</v>
      </c>
      <c r="C21" s="64" t="s">
        <v>18</v>
      </c>
      <c r="D21" s="64" t="s">
        <v>19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</row>
    <row r="22" spans="1:21">
      <c r="A22" s="64" t="s">
        <v>42</v>
      </c>
      <c r="B22" t="s">
        <v>67</v>
      </c>
      <c r="D22" s="72">
        <f>Módulo1[[#Totals],[Valor]]/12</f>
        <v>83.1666666666667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  <row r="23" spans="1:21">
      <c r="A23" s="64" t="s">
        <v>45</v>
      </c>
      <c r="B23" t="s">
        <v>68</v>
      </c>
      <c r="D23" s="72">
        <f>(Módulo1[[#Totals],[Valor]]/12)*(1+(1/3))</f>
        <v>110.888888888889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</row>
    <row r="24" spans="1:21">
      <c r="A24" s="64" t="s">
        <v>58</v>
      </c>
      <c r="D24" s="72">
        <f>SUBTOTAL(109,Submódulo2.1[Valor])</f>
        <v>194.055555555556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</row>
    <row r="25" spans="1:21">
      <c r="A25" s="64"/>
      <c r="D25" s="72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</row>
    <row r="26" spans="1:21">
      <c r="A26" s="131" t="s">
        <v>69</v>
      </c>
      <c r="B26" s="131"/>
      <c r="C26" s="131"/>
      <c r="D26" s="131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</row>
    <row r="27" spans="1:21">
      <c r="A27" s="131" t="s">
        <v>16</v>
      </c>
      <c r="B27" s="131" t="s">
        <v>70</v>
      </c>
      <c r="C27" s="131" t="s">
        <v>71</v>
      </c>
      <c r="D27" s="132" t="s">
        <v>72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</row>
    <row r="28" ht="28.8" spans="1:21">
      <c r="A28" s="85" t="s">
        <v>42</v>
      </c>
      <c r="B28" s="133" t="s">
        <v>73</v>
      </c>
      <c r="C28" s="134" t="s">
        <v>74</v>
      </c>
      <c r="D28" s="133" t="s">
        <v>75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</row>
    <row r="29" ht="28.8" spans="1:21">
      <c r="A29" s="85" t="s">
        <v>45</v>
      </c>
      <c r="B29" s="135" t="s">
        <v>68</v>
      </c>
      <c r="C29" s="134" t="s">
        <v>74</v>
      </c>
      <c r="D29" s="133" t="s">
        <v>76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</row>
    <row r="30" spans="1:21">
      <c r="A30" s="64"/>
      <c r="B30" s="64"/>
      <c r="C30" s="96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</row>
    <row r="31" spans="1:4">
      <c r="A31" s="63" t="s">
        <v>77</v>
      </c>
      <c r="B31" s="63"/>
      <c r="C31" s="63"/>
      <c r="D31" s="63"/>
    </row>
    <row r="32" spans="1:4">
      <c r="A32" s="64" t="s">
        <v>78</v>
      </c>
      <c r="B32" s="70" t="s">
        <v>79</v>
      </c>
      <c r="C32" s="64" t="s">
        <v>38</v>
      </c>
      <c r="D32" s="64" t="s">
        <v>80</v>
      </c>
    </row>
    <row r="33" spans="1:4">
      <c r="A33" s="64" t="s">
        <v>42</v>
      </c>
      <c r="B33" t="s">
        <v>81</v>
      </c>
      <c r="C33" s="74">
        <v>0.2</v>
      </c>
      <c r="D33" s="72">
        <f>C33*(Módulo1[[#Totals],[Valor]]+Submódulo2.1[[#Totals],[Valor]])</f>
        <v>238.411111111111</v>
      </c>
    </row>
    <row r="34" spans="1:4">
      <c r="A34" s="64" t="s">
        <v>45</v>
      </c>
      <c r="B34" t="s">
        <v>82</v>
      </c>
      <c r="C34" s="74">
        <v>0.025</v>
      </c>
      <c r="D34" s="72">
        <f>C34*(Módulo1[[#Totals],[Valor]]+Submódulo2.1[[#Totals],[Valor]])</f>
        <v>29.8013888888889</v>
      </c>
    </row>
    <row r="35" spans="1:4">
      <c r="A35" s="64" t="s">
        <v>48</v>
      </c>
      <c r="B35" t="s">
        <v>83</v>
      </c>
      <c r="C35" s="74">
        <f>Servente!G6</f>
        <v>0.03</v>
      </c>
      <c r="D35" s="72">
        <f>C35*(Módulo1[[#Totals],[Valor]]+Submódulo2.1[[#Totals],[Valor]])</f>
        <v>35.7616666666667</v>
      </c>
    </row>
    <row r="36" spans="1:4">
      <c r="A36" s="64" t="s">
        <v>50</v>
      </c>
      <c r="B36" t="s">
        <v>84</v>
      </c>
      <c r="C36" s="74">
        <v>0.015</v>
      </c>
      <c r="D36" s="72">
        <f>C36*(Módulo1[[#Totals],[Valor]]+Submódulo2.1[[#Totals],[Valor]])</f>
        <v>17.8808333333333</v>
      </c>
    </row>
    <row r="37" spans="1:4">
      <c r="A37" s="64" t="s">
        <v>53</v>
      </c>
      <c r="B37" t="s">
        <v>85</v>
      </c>
      <c r="C37" s="74">
        <v>0.01</v>
      </c>
      <c r="D37" s="72">
        <f>C37*(Módulo1[[#Totals],[Valor]]+Submódulo2.1[[#Totals],[Valor]])</f>
        <v>11.9205555555556</v>
      </c>
    </row>
    <row r="38" spans="1:4">
      <c r="A38" s="64" t="s">
        <v>55</v>
      </c>
      <c r="B38" t="s">
        <v>86</v>
      </c>
      <c r="C38" s="74">
        <v>0.006</v>
      </c>
      <c r="D38" s="72">
        <f>C38*(Módulo1[[#Totals],[Valor]]+Submódulo2.1[[#Totals],[Valor]])</f>
        <v>7.15233333333333</v>
      </c>
    </row>
    <row r="39" spans="1:4">
      <c r="A39" s="64" t="s">
        <v>87</v>
      </c>
      <c r="B39" t="s">
        <v>88</v>
      </c>
      <c r="C39" s="74">
        <v>0.002</v>
      </c>
      <c r="D39" s="72">
        <f>C39*(Módulo1[[#Totals],[Valor]]+Submódulo2.1[[#Totals],[Valor]])</f>
        <v>2.38411111111111</v>
      </c>
    </row>
    <row r="40" spans="1:4">
      <c r="A40" s="64" t="s">
        <v>89</v>
      </c>
      <c r="B40" t="s">
        <v>90</v>
      </c>
      <c r="C40" s="74">
        <v>0.08</v>
      </c>
      <c r="D40" s="72">
        <f>C40*(Módulo1[[#Totals],[Valor]]+Submódulo2.1[[#Totals],[Valor]])</f>
        <v>95.3644444444445</v>
      </c>
    </row>
    <row r="41" spans="1:4">
      <c r="A41" s="64" t="s">
        <v>58</v>
      </c>
      <c r="C41" s="81">
        <f>SUBTOTAL(109,Submódulo2.2[Percentual])</f>
        <v>0.368</v>
      </c>
      <c r="D41" s="72">
        <f>SUBTOTAL(109,Submódulo2.2[Valor ])</f>
        <v>438.676444444444</v>
      </c>
    </row>
    <row r="42" spans="1:4">
      <c r="A42" s="64"/>
      <c r="C42" s="81"/>
      <c r="D42" s="72"/>
    </row>
    <row r="43" spans="1:4">
      <c r="A43" s="131" t="s">
        <v>91</v>
      </c>
      <c r="B43" s="131"/>
      <c r="C43" s="131"/>
      <c r="D43" s="131"/>
    </row>
    <row r="44" spans="1:4">
      <c r="A44" s="131" t="s">
        <v>16</v>
      </c>
      <c r="B44" s="131" t="s">
        <v>70</v>
      </c>
      <c r="C44" s="131" t="s">
        <v>71</v>
      </c>
      <c r="D44" s="132" t="s">
        <v>72</v>
      </c>
    </row>
    <row r="45" spans="1:4">
      <c r="A45" s="85" t="s">
        <v>92</v>
      </c>
      <c r="B45" s="133" t="s">
        <v>79</v>
      </c>
      <c r="C45" s="133" t="s">
        <v>93</v>
      </c>
      <c r="D45" s="133" t="s">
        <v>94</v>
      </c>
    </row>
    <row r="47" spans="1:4">
      <c r="A47" s="63" t="s">
        <v>95</v>
      </c>
      <c r="B47" s="63"/>
      <c r="C47" s="63"/>
      <c r="D47" s="63"/>
    </row>
    <row r="48" spans="1:4">
      <c r="A48" s="64" t="s">
        <v>96</v>
      </c>
      <c r="B48" s="70" t="s">
        <v>97</v>
      </c>
      <c r="C48" s="64" t="s">
        <v>18</v>
      </c>
      <c r="D48" s="64" t="s">
        <v>19</v>
      </c>
    </row>
    <row r="49" spans="1:4">
      <c r="A49" s="64" t="s">
        <v>42</v>
      </c>
      <c r="B49" t="s">
        <v>98</v>
      </c>
      <c r="D49" s="72">
        <f>IF(G3=0,0,(Servente!G3*2*Servente!G5)-(6%*_1A))</f>
        <v>0</v>
      </c>
    </row>
    <row r="50" spans="1:4">
      <c r="A50" s="64" t="s">
        <v>45</v>
      </c>
      <c r="B50" t="s">
        <v>99</v>
      </c>
      <c r="D50" s="72">
        <f>(Servente!G4*Servente!G5)*80%</f>
        <v>211.2</v>
      </c>
    </row>
    <row r="51" spans="1:4">
      <c r="A51" s="64" t="s">
        <v>48</v>
      </c>
      <c r="B51" t="s">
        <v>100</v>
      </c>
      <c r="D51" s="72"/>
    </row>
    <row r="52" spans="1:4">
      <c r="A52" s="64" t="s">
        <v>50</v>
      </c>
      <c r="B52" t="s">
        <v>56</v>
      </c>
      <c r="D52" s="72"/>
    </row>
    <row r="53" spans="1:4">
      <c r="A53" s="64" t="s">
        <v>58</v>
      </c>
      <c r="D53" s="72">
        <v>211.2</v>
      </c>
    </row>
    <row r="54" spans="1:4">
      <c r="A54" s="64"/>
      <c r="D54" s="72"/>
    </row>
    <row r="55" spans="1:4">
      <c r="A55" s="131" t="s">
        <v>101</v>
      </c>
      <c r="B55" s="131"/>
      <c r="C55" s="131"/>
      <c r="D55" s="131"/>
    </row>
    <row r="56" spans="1:4">
      <c r="A56" s="131" t="s">
        <v>16</v>
      </c>
      <c r="B56" s="131" t="s">
        <v>70</v>
      </c>
      <c r="C56" s="131" t="s">
        <v>71</v>
      </c>
      <c r="D56" s="131" t="s">
        <v>72</v>
      </c>
    </row>
    <row r="57" ht="43.2" spans="1:4">
      <c r="A57" s="85" t="s">
        <v>42</v>
      </c>
      <c r="B57" s="133" t="s">
        <v>98</v>
      </c>
      <c r="C57" s="134" t="s">
        <v>102</v>
      </c>
      <c r="D57" s="134" t="s">
        <v>103</v>
      </c>
    </row>
    <row r="58" ht="28.8" spans="1:4">
      <c r="A58" s="85" t="s">
        <v>45</v>
      </c>
      <c r="B58" s="135" t="s">
        <v>99</v>
      </c>
      <c r="C58" s="134" t="s">
        <v>102</v>
      </c>
      <c r="D58" s="134" t="s">
        <v>104</v>
      </c>
    </row>
    <row r="59" ht="19.5" customHeight="1" spans="1:4">
      <c r="A59" s="64"/>
      <c r="D59" s="72"/>
    </row>
    <row r="60" spans="1:4">
      <c r="A60" s="63" t="s">
        <v>105</v>
      </c>
      <c r="B60" s="63"/>
      <c r="C60" s="63"/>
      <c r="D60" s="63"/>
    </row>
    <row r="61" spans="1:4">
      <c r="A61" s="64" t="s">
        <v>106</v>
      </c>
      <c r="B61" s="70" t="s">
        <v>107</v>
      </c>
      <c r="C61" s="64" t="s">
        <v>18</v>
      </c>
      <c r="D61" s="64" t="s">
        <v>19</v>
      </c>
    </row>
    <row r="62" spans="1:4">
      <c r="A62" s="64" t="s">
        <v>65</v>
      </c>
      <c r="B62" t="s">
        <v>66</v>
      </c>
      <c r="C62" s="64"/>
      <c r="D62" s="72">
        <f>Submódulo2.1[[#Totals],[Valor]]</f>
        <v>194.055555555556</v>
      </c>
    </row>
    <row r="63" spans="1:4">
      <c r="A63" s="64" t="s">
        <v>78</v>
      </c>
      <c r="B63" t="s">
        <v>79</v>
      </c>
      <c r="C63" s="64"/>
      <c r="D63" s="72">
        <f>Submódulo2.2[[#Totals],[Valor ]]</f>
        <v>438.676444444444</v>
      </c>
    </row>
    <row r="64" spans="1:4">
      <c r="A64" s="64" t="s">
        <v>96</v>
      </c>
      <c r="B64" t="s">
        <v>97</v>
      </c>
      <c r="C64" s="64"/>
      <c r="D64" s="72">
        <f>Submódulo2.3[[#Totals],[Valor]]</f>
        <v>211.2</v>
      </c>
    </row>
    <row r="65" spans="1:4">
      <c r="A65" s="64" t="s">
        <v>58</v>
      </c>
      <c r="C65" s="64"/>
      <c r="D65" s="72">
        <v>843.932</v>
      </c>
    </row>
    <row r="67" spans="1:4">
      <c r="A67" s="47" t="s">
        <v>108</v>
      </c>
      <c r="B67" s="47"/>
      <c r="C67" s="47"/>
      <c r="D67" s="47"/>
    </row>
    <row r="68" spans="1:4">
      <c r="A68" s="64" t="s">
        <v>109</v>
      </c>
      <c r="B68" s="70" t="s">
        <v>110</v>
      </c>
      <c r="C68" s="64" t="s">
        <v>18</v>
      </c>
      <c r="D68" s="64" t="s">
        <v>19</v>
      </c>
    </row>
    <row r="69" spans="1:4">
      <c r="A69" s="64" t="s">
        <v>42</v>
      </c>
      <c r="B69" t="s">
        <v>111</v>
      </c>
      <c r="D69" s="72">
        <f>((Módulo1[[#Totals],[Valor]]+D62+D64)/12)*Servente!G10</f>
        <v>50.715994537037</v>
      </c>
    </row>
    <row r="70" spans="1:4">
      <c r="A70" s="64" t="s">
        <v>45</v>
      </c>
      <c r="B70" t="s">
        <v>112</v>
      </c>
      <c r="D70" s="72">
        <f>(D40/12)*Servente!G10</f>
        <v>3.44662996296296</v>
      </c>
    </row>
    <row r="71" spans="1:4">
      <c r="A71" s="64" t="s">
        <v>48</v>
      </c>
      <c r="B71" t="s">
        <v>113</v>
      </c>
      <c r="D71" s="72">
        <f>D40*50%*Servente!G10</f>
        <v>20.6797797777778</v>
      </c>
    </row>
    <row r="72" spans="1:4">
      <c r="A72" s="64" t="s">
        <v>50</v>
      </c>
      <c r="B72" t="s">
        <v>114</v>
      </c>
      <c r="D72" s="72">
        <f>((Módulo1[[#Totals],[Valor]]+ResumoMódulo2[[#Totals],[Valor]])/12)*Servente!G11</f>
        <v>66.5704923666667</v>
      </c>
    </row>
    <row r="73" spans="1:4">
      <c r="A73" s="64" t="s">
        <v>53</v>
      </c>
      <c r="B73" t="s">
        <v>115</v>
      </c>
      <c r="D73" s="72">
        <f>D40*50%*Servente!G11</f>
        <v>20.6797797777778</v>
      </c>
    </row>
    <row r="74" spans="1:4">
      <c r="A74" s="64" t="s">
        <v>55</v>
      </c>
      <c r="B74" t="s">
        <v>116</v>
      </c>
      <c r="D74" s="72">
        <f>-D62*Servente!G12</f>
        <v>-4.23041111111111</v>
      </c>
    </row>
    <row r="75" spans="1:4">
      <c r="A75" s="64" t="s">
        <v>58</v>
      </c>
      <c r="D75" s="72">
        <f>SUBTOTAL(109,Módulo3[Valor])</f>
        <v>157.862265311111</v>
      </c>
    </row>
    <row r="76" spans="1:4">
      <c r="A76" s="64"/>
      <c r="D76" s="72"/>
    </row>
    <row r="77" spans="1:4">
      <c r="A77" s="131" t="s">
        <v>117</v>
      </c>
      <c r="B77" s="131"/>
      <c r="C77" s="131"/>
      <c r="D77" s="131"/>
    </row>
    <row r="78" spans="1:4">
      <c r="A78" s="131" t="s">
        <v>16</v>
      </c>
      <c r="B78" s="131" t="s">
        <v>70</v>
      </c>
      <c r="C78" s="131" t="s">
        <v>71</v>
      </c>
      <c r="D78" s="131" t="s">
        <v>72</v>
      </c>
    </row>
    <row r="79" ht="57.6" spans="1:4">
      <c r="A79" s="85" t="s">
        <v>42</v>
      </c>
      <c r="B79" s="133" t="s">
        <v>111</v>
      </c>
      <c r="C79" s="134" t="s">
        <v>118</v>
      </c>
      <c r="D79" s="134" t="s">
        <v>119</v>
      </c>
    </row>
    <row r="80" ht="57.6" spans="1:4">
      <c r="A80" s="85" t="s">
        <v>45</v>
      </c>
      <c r="B80" s="135" t="s">
        <v>112</v>
      </c>
      <c r="C80" s="134" t="s">
        <v>120</v>
      </c>
      <c r="D80" s="134" t="s">
        <v>119</v>
      </c>
    </row>
    <row r="81" ht="72" spans="1:4">
      <c r="A81" s="85" t="s">
        <v>48</v>
      </c>
      <c r="B81" s="135" t="s">
        <v>113</v>
      </c>
      <c r="C81" s="134" t="s">
        <v>120</v>
      </c>
      <c r="D81" s="136" t="s">
        <v>121</v>
      </c>
    </row>
    <row r="82" ht="57.6" spans="1:4">
      <c r="A82" s="85" t="s">
        <v>50</v>
      </c>
      <c r="B82" s="86" t="s">
        <v>114</v>
      </c>
      <c r="C82" s="134" t="s">
        <v>122</v>
      </c>
      <c r="D82" s="136" t="s">
        <v>123</v>
      </c>
    </row>
    <row r="83" ht="72" spans="1:4">
      <c r="A83" s="85" t="s">
        <v>53</v>
      </c>
      <c r="B83" s="86" t="s">
        <v>115</v>
      </c>
      <c r="C83" s="134" t="s">
        <v>120</v>
      </c>
      <c r="D83" s="136" t="s">
        <v>124</v>
      </c>
    </row>
    <row r="84" ht="57.6" spans="1:4">
      <c r="A84" s="85" t="s">
        <v>55</v>
      </c>
      <c r="B84" s="86" t="s">
        <v>116</v>
      </c>
      <c r="C84" s="134" t="s">
        <v>125</v>
      </c>
      <c r="D84" s="136" t="s">
        <v>126</v>
      </c>
    </row>
    <row r="86" ht="15" customHeight="1" spans="1:4">
      <c r="A86" s="94" t="s">
        <v>127</v>
      </c>
      <c r="B86" s="94"/>
      <c r="C86" s="94"/>
      <c r="D86" s="94"/>
    </row>
    <row r="87" spans="1:4">
      <c r="A87" s="63" t="s">
        <v>128</v>
      </c>
      <c r="B87" s="63"/>
      <c r="C87" s="63"/>
      <c r="D87" s="63"/>
    </row>
    <row r="88" spans="1:4">
      <c r="A88" s="64" t="s">
        <v>129</v>
      </c>
      <c r="B88" s="70" t="s">
        <v>130</v>
      </c>
      <c r="C88" s="64" t="s">
        <v>131</v>
      </c>
      <c r="D88" s="64" t="s">
        <v>19</v>
      </c>
    </row>
    <row r="89" spans="1:4">
      <c r="A89" s="64" t="s">
        <v>42</v>
      </c>
      <c r="B89" t="s">
        <v>132</v>
      </c>
      <c r="C89" s="64">
        <v>20.71</v>
      </c>
      <c r="D89" s="72">
        <f>(((Módulo1[[#Totals],[Valor]]+ResumoMódulo2[[#Totals],[Valor]]+Módulo3[[#Totals],[Valor]])/30)*C89)/12</f>
        <v>115.043720096092</v>
      </c>
    </row>
    <row r="90" spans="1:4">
      <c r="A90" s="64" t="s">
        <v>45</v>
      </c>
      <c r="B90" t="s">
        <v>133</v>
      </c>
      <c r="C90" s="64">
        <v>1.4181</v>
      </c>
      <c r="D90" s="72">
        <f>(((Módulo1[[#Totals],[Valor]]+ResumoMódulo2[[#Totals],[Valor]]+Módulo3[[#Totals],[Valor]])/30)*C90)/12</f>
        <v>7.87752291010468</v>
      </c>
    </row>
    <row r="91" spans="1:4">
      <c r="A91" s="64" t="s">
        <v>48</v>
      </c>
      <c r="B91" t="s">
        <v>134</v>
      </c>
      <c r="C91" s="64">
        <v>0.1898</v>
      </c>
      <c r="D91" s="72">
        <f>(((Módulo1[[#Totals],[Valor]]+ResumoMódulo2[[#Totals],[Valor]]+Módulo3[[#Totals],[Valor]])/30)*C91)/12</f>
        <v>1.05433597654458</v>
      </c>
    </row>
    <row r="92" spans="1:4">
      <c r="A92" s="64" t="s">
        <v>50</v>
      </c>
      <c r="B92" t="s">
        <v>135</v>
      </c>
      <c r="C92" s="64">
        <v>0.9545</v>
      </c>
      <c r="D92" s="72">
        <f>(((Módulo1[[#Totals],[Valor]]+ResumoMódulo2[[#Totals],[Valor]]+Módulo3[[#Totals],[Valor]])/30)*C92)/12</f>
        <v>5.3022322951096</v>
      </c>
    </row>
    <row r="93" spans="1:4">
      <c r="A93" s="64" t="s">
        <v>53</v>
      </c>
      <c r="B93" t="s">
        <v>136</v>
      </c>
      <c r="C93" s="64">
        <v>2.4723</v>
      </c>
      <c r="D93" s="72">
        <f>(((Módulo1[[#Totals],[Valor]]+ResumoMódulo2[[#Totals],[Valor]]+Módulo3[[#Totals],[Valor]])/30)*C93)/12</f>
        <v>13.7335871170241</v>
      </c>
    </row>
    <row r="94" spans="1:4">
      <c r="A94" s="64" t="s">
        <v>55</v>
      </c>
      <c r="B94" t="s">
        <v>137</v>
      </c>
      <c r="C94" s="64">
        <v>3.4521</v>
      </c>
      <c r="D94" s="72">
        <f>(((Módulo1[[#Totals],[Valor]]+ResumoMódulo2[[#Totals],[Valor]]+Módulo3[[#Totals],[Valor]])/30)*C94)/12</f>
        <v>19.1763605091125</v>
      </c>
    </row>
    <row r="95" spans="1:4">
      <c r="A95" s="64" t="s">
        <v>58</v>
      </c>
      <c r="C95" s="64">
        <f>SUBTOTAL(109,Submódulo4.1[Dias de ausência])</f>
        <v>29.1968</v>
      </c>
      <c r="D95" s="72">
        <f>SUBTOTAL(109,Submódulo4.1[Valor])</f>
        <v>162.187758903987</v>
      </c>
    </row>
    <row r="96" spans="1:4">
      <c r="A96" s="64"/>
      <c r="C96" s="64"/>
      <c r="D96" s="72"/>
    </row>
    <row r="97" spans="1:4">
      <c r="A97" s="131" t="s">
        <v>138</v>
      </c>
      <c r="B97" s="131"/>
      <c r="C97" s="131"/>
      <c r="D97" s="131"/>
    </row>
    <row r="98" spans="1:4">
      <c r="A98" s="131" t="s">
        <v>16</v>
      </c>
      <c r="B98" s="131" t="s">
        <v>70</v>
      </c>
      <c r="C98" s="131" t="s">
        <v>71</v>
      </c>
      <c r="D98" s="131" t="s">
        <v>72</v>
      </c>
    </row>
    <row r="99" spans="1:4">
      <c r="A99" s="85" t="s">
        <v>139</v>
      </c>
      <c r="B99" s="133" t="s">
        <v>140</v>
      </c>
      <c r="C99" s="134"/>
      <c r="D99" s="134"/>
    </row>
    <row r="100" ht="43.2" spans="1:4">
      <c r="A100" s="85" t="s">
        <v>139</v>
      </c>
      <c r="B100" s="135" t="s">
        <v>141</v>
      </c>
      <c r="C100" s="134" t="s">
        <v>142</v>
      </c>
      <c r="D100" s="134" t="s">
        <v>143</v>
      </c>
    </row>
    <row r="101" spans="1:4">
      <c r="A101" s="64"/>
      <c r="C101" s="64"/>
      <c r="D101" s="72"/>
    </row>
    <row r="102" spans="1:4">
      <c r="A102" s="63" t="s">
        <v>144</v>
      </c>
      <c r="B102" s="63"/>
      <c r="C102" s="63"/>
      <c r="D102" s="63"/>
    </row>
    <row r="103" spans="1:4">
      <c r="A103" s="64" t="s">
        <v>145</v>
      </c>
      <c r="B103" s="70" t="s">
        <v>146</v>
      </c>
      <c r="C103" s="64" t="s">
        <v>18</v>
      </c>
      <c r="D103" s="64" t="s">
        <v>19</v>
      </c>
    </row>
    <row r="104" spans="1:4">
      <c r="A104" s="64" t="s">
        <v>42</v>
      </c>
      <c r="B104" t="s">
        <v>147</v>
      </c>
      <c r="C104" s="64"/>
      <c r="D104" s="72"/>
    </row>
    <row r="105" spans="1:4">
      <c r="A105" s="64" t="s">
        <v>58</v>
      </c>
      <c r="C105" s="64"/>
      <c r="D105" s="72">
        <f>SUBTOTAL(109,Submódulo4.2[Valor])</f>
        <v>0</v>
      </c>
    </row>
    <row r="107" spans="1:4">
      <c r="A107" s="63" t="s">
        <v>148</v>
      </c>
      <c r="B107" s="63"/>
      <c r="C107" s="63"/>
      <c r="D107" s="63"/>
    </row>
    <row r="108" spans="1:4">
      <c r="A108" s="64" t="s">
        <v>149</v>
      </c>
      <c r="B108" s="70" t="s">
        <v>150</v>
      </c>
      <c r="C108" s="64" t="s">
        <v>18</v>
      </c>
      <c r="D108" s="64" t="s">
        <v>19</v>
      </c>
    </row>
    <row r="109" spans="1:4">
      <c r="A109" s="64" t="s">
        <v>129</v>
      </c>
      <c r="B109" t="s">
        <v>130</v>
      </c>
      <c r="D109" s="72">
        <f>Submódulo4.1[[#Totals],[Valor]]</f>
        <v>162.187758903987</v>
      </c>
    </row>
    <row r="110" spans="1:4">
      <c r="A110" s="64" t="s">
        <v>145</v>
      </c>
      <c r="B110" t="s">
        <v>151</v>
      </c>
      <c r="D110" s="72">
        <f>Submódulo4.2[[#Totals],[Valor]]</f>
        <v>0</v>
      </c>
    </row>
    <row r="111" spans="1:4">
      <c r="A111" s="64" t="s">
        <v>58</v>
      </c>
      <c r="D111" s="72">
        <f>SUBTOTAL(109,ResumoMódulo4[Valor])</f>
        <v>162.187758903987</v>
      </c>
    </row>
    <row r="113" spans="1:4">
      <c r="A113" s="47" t="s">
        <v>152</v>
      </c>
      <c r="B113" s="47"/>
      <c r="C113" s="47"/>
      <c r="D113" s="47"/>
    </row>
    <row r="114" spans="1:4">
      <c r="A114" s="64" t="s">
        <v>153</v>
      </c>
      <c r="B114" s="70" t="s">
        <v>154</v>
      </c>
      <c r="C114" s="64" t="s">
        <v>18</v>
      </c>
      <c r="D114" s="64" t="s">
        <v>19</v>
      </c>
    </row>
    <row r="115" spans="1:4">
      <c r="A115" s="64" t="s">
        <v>42</v>
      </c>
      <c r="B115" t="s">
        <v>155</v>
      </c>
      <c r="D115" s="72" t="e">
        <f>#REF!</f>
        <v>#REF!</v>
      </c>
    </row>
    <row r="116" spans="1:4">
      <c r="A116" s="64" t="s">
        <v>45</v>
      </c>
      <c r="B116" t="s">
        <v>156</v>
      </c>
      <c r="D116" s="72" t="e">
        <f>#REF!/#REF!</f>
        <v>#REF!</v>
      </c>
    </row>
    <row r="117" spans="1:4">
      <c r="A117" s="64" t="s">
        <v>48</v>
      </c>
      <c r="B117" t="s">
        <v>157</v>
      </c>
      <c r="D117" s="72" t="e">
        <f>#REF!/#REF!</f>
        <v>#REF!</v>
      </c>
    </row>
    <row r="118" spans="1:4">
      <c r="A118" s="64" t="s">
        <v>50</v>
      </c>
      <c r="B118" t="s">
        <v>158</v>
      </c>
      <c r="D118" s="72"/>
    </row>
    <row r="119" spans="1:4">
      <c r="A119" s="64" t="s">
        <v>58</v>
      </c>
      <c r="D119" s="72" t="e">
        <f>SUBTOTAL(109,Módulo5[Valor])</f>
        <v>#REF!</v>
      </c>
    </row>
    <row r="120" spans="1:4">
      <c r="A120" s="64"/>
      <c r="D120" s="72"/>
    </row>
    <row r="121" spans="1:4">
      <c r="A121" s="131" t="s">
        <v>159</v>
      </c>
      <c r="B121" s="131"/>
      <c r="C121" s="131"/>
      <c r="D121" s="131"/>
    </row>
    <row r="122" spans="1:4">
      <c r="A122" s="131" t="s">
        <v>16</v>
      </c>
      <c r="B122" s="131" t="s">
        <v>70</v>
      </c>
      <c r="C122" s="131" t="s">
        <v>71</v>
      </c>
      <c r="D122" s="131" t="s">
        <v>72</v>
      </c>
    </row>
    <row r="123" spans="1:4">
      <c r="A123" s="85" t="s">
        <v>42</v>
      </c>
      <c r="B123" s="133" t="s">
        <v>155</v>
      </c>
      <c r="C123" s="134" t="s">
        <v>160</v>
      </c>
      <c r="D123" s="134"/>
    </row>
    <row r="124" ht="28.8" spans="1:4">
      <c r="A124" s="85" t="s">
        <v>45</v>
      </c>
      <c r="B124" s="135" t="s">
        <v>156</v>
      </c>
      <c r="C124" s="134" t="s">
        <v>161</v>
      </c>
      <c r="D124" s="134" t="s">
        <v>162</v>
      </c>
    </row>
    <row r="125" ht="28.8" spans="1:4">
      <c r="A125" s="85" t="s">
        <v>48</v>
      </c>
      <c r="B125" s="135" t="s">
        <v>157</v>
      </c>
      <c r="C125" s="134" t="s">
        <v>163</v>
      </c>
      <c r="D125" s="134" t="s">
        <v>162</v>
      </c>
    </row>
    <row r="126" spans="1:4">
      <c r="A126" s="85" t="s">
        <v>50</v>
      </c>
      <c r="B126" s="135" t="s">
        <v>158</v>
      </c>
      <c r="C126" s="134"/>
      <c r="D126" s="134"/>
    </row>
    <row r="128" spans="1:4">
      <c r="A128" s="47" t="s">
        <v>164</v>
      </c>
      <c r="B128" s="47"/>
      <c r="C128" s="47"/>
      <c r="D128" s="47"/>
    </row>
    <row r="129" outlineLevel="1" spans="1:4">
      <c r="A129" s="64" t="s">
        <v>165</v>
      </c>
      <c r="B129" t="s">
        <v>166</v>
      </c>
      <c r="C129" s="64" t="s">
        <v>38</v>
      </c>
      <c r="D129" s="64" t="s">
        <v>19</v>
      </c>
    </row>
    <row r="130" outlineLevel="1" spans="1:4">
      <c r="A130" s="64" t="s">
        <v>42</v>
      </c>
      <c r="B130" t="s">
        <v>167</v>
      </c>
      <c r="C130" s="74">
        <f>G16</f>
        <v>0.0471</v>
      </c>
      <c r="D130" s="72" t="e">
        <f>Módulo6[[#This Row],[Percentual]]*(D141+D142+D143+D144+D145)</f>
        <v>#REF!</v>
      </c>
    </row>
    <row r="131" outlineLevel="1" spans="1:4">
      <c r="A131" s="64" t="s">
        <v>45</v>
      </c>
      <c r="B131" t="s">
        <v>59</v>
      </c>
      <c r="C131" s="74">
        <f>G17</f>
        <v>0.0467</v>
      </c>
      <c r="D131" s="72" t="e">
        <f>(SUM(D141:D145)+D130)*Módulo6[[#This Row],[Percentual]]</f>
        <v>#REF!</v>
      </c>
    </row>
    <row r="132" spans="1:4">
      <c r="A132" s="64" t="s">
        <v>48</v>
      </c>
      <c r="B132" t="s">
        <v>168</v>
      </c>
      <c r="C132" s="74">
        <f>SUM(C133:C135)</f>
        <v>0.1425</v>
      </c>
      <c r="D132" s="72" t="e">
        <f>Módulo6[[#This Row],[Percentual]]*D148</f>
        <v>#REF!</v>
      </c>
    </row>
    <row r="133" spans="1:4">
      <c r="A133" s="64" t="s">
        <v>169</v>
      </c>
      <c r="B133" t="s">
        <v>60</v>
      </c>
      <c r="C133" s="74">
        <f>G18</f>
        <v>0.0165</v>
      </c>
      <c r="D133" s="72" t="e">
        <f>Módulo6[[#This Row],[Percentual]]*D148</f>
        <v>#REF!</v>
      </c>
    </row>
    <row r="134" spans="1:4">
      <c r="A134" s="64" t="s">
        <v>170</v>
      </c>
      <c r="B134" t="s">
        <v>62</v>
      </c>
      <c r="C134" s="74">
        <f>G19</f>
        <v>0.076</v>
      </c>
      <c r="D134" s="72" t="e">
        <f>Módulo6[[#This Row],[Percentual]]*D148</f>
        <v>#REF!</v>
      </c>
    </row>
    <row r="135" spans="1:4">
      <c r="A135" s="64" t="s">
        <v>171</v>
      </c>
      <c r="B135" t="s">
        <v>64</v>
      </c>
      <c r="C135" s="74">
        <f>G20</f>
        <v>0.05</v>
      </c>
      <c r="D135" s="72" t="e">
        <f>Módulo6[[#This Row],[Percentual]]*D148</f>
        <v>#REF!</v>
      </c>
    </row>
    <row r="136" spans="1:4">
      <c r="A136" s="64" t="s">
        <v>58</v>
      </c>
      <c r="C136" s="110"/>
      <c r="D136" s="72" t="e">
        <f>SUM(D130:D132)</f>
        <v>#REF!</v>
      </c>
    </row>
    <row r="137" spans="1:4">
      <c r="A137" s="64"/>
      <c r="C137" s="110"/>
      <c r="D137" s="72"/>
    </row>
    <row r="139" spans="1:4">
      <c r="A139" s="47" t="s">
        <v>172</v>
      </c>
      <c r="B139" s="47"/>
      <c r="C139" s="47"/>
      <c r="D139" s="47"/>
    </row>
    <row r="140" spans="1:4">
      <c r="A140" s="64" t="s">
        <v>16</v>
      </c>
      <c r="B140" s="64" t="s">
        <v>173</v>
      </c>
      <c r="C140" s="64" t="s">
        <v>102</v>
      </c>
      <c r="D140" s="64" t="s">
        <v>19</v>
      </c>
    </row>
    <row r="141" spans="1:4">
      <c r="A141" s="64" t="s">
        <v>42</v>
      </c>
      <c r="B141" t="s">
        <v>36</v>
      </c>
      <c r="D141" s="72">
        <f>Módulo1[[#Totals],[Valor]]</f>
        <v>998</v>
      </c>
    </row>
    <row r="142" spans="1:4">
      <c r="A142" s="64" t="s">
        <v>45</v>
      </c>
      <c r="B142" t="s">
        <v>61</v>
      </c>
      <c r="D142" s="72">
        <f>ResumoMódulo2[[#Totals],[Valor]]</f>
        <v>843.932</v>
      </c>
    </row>
    <row r="143" spans="1:4">
      <c r="A143" s="64" t="s">
        <v>48</v>
      </c>
      <c r="B143" t="s">
        <v>108</v>
      </c>
      <c r="D143" s="72">
        <f>Módulo3[[#Totals],[Valor]]</f>
        <v>157.862265311111</v>
      </c>
    </row>
    <row r="144" spans="1:4">
      <c r="A144" s="64" t="s">
        <v>50</v>
      </c>
      <c r="B144" t="s">
        <v>174</v>
      </c>
      <c r="D144" s="72">
        <f>ResumoMódulo4[[#Totals],[Valor]]</f>
        <v>162.187758903987</v>
      </c>
    </row>
    <row r="145" spans="1:4">
      <c r="A145" s="64" t="s">
        <v>53</v>
      </c>
      <c r="B145" t="s">
        <v>152</v>
      </c>
      <c r="D145" s="72" t="e">
        <f>Módulo5[[#Totals],[Valor]]</f>
        <v>#REF!</v>
      </c>
    </row>
    <row r="146" spans="1:4">
      <c r="A146" t="s">
        <v>175</v>
      </c>
      <c r="D146" s="72" t="e">
        <f>SUM(D141:D145)</f>
        <v>#REF!</v>
      </c>
    </row>
    <row r="147" spans="1:4">
      <c r="A147" s="64" t="s">
        <v>55</v>
      </c>
      <c r="B147" t="s">
        <v>164</v>
      </c>
      <c r="D147" s="72" t="e">
        <f>Módulo6[[#Totals],[Valor]]</f>
        <v>#REF!</v>
      </c>
    </row>
    <row r="148" spans="1:4">
      <c r="A148" s="112" t="s">
        <v>176</v>
      </c>
      <c r="B148" s="112"/>
      <c r="C148" s="112"/>
      <c r="D148" s="137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7"/>
  <sheetViews>
    <sheetView zoomScale="90" zoomScaleNormal="90" topLeftCell="A129" workbookViewId="0">
      <selection activeCell="A2" sqref="A2:D147"/>
    </sheetView>
  </sheetViews>
  <sheetFormatPr defaultColWidth="9.13888888888889" defaultRowHeight="14.4" outlineLevelCol="6"/>
  <cols>
    <col min="1" max="1" width="10.9814814814815" customWidth="1"/>
    <col min="2" max="2" width="56.1666666666667" customWidth="1"/>
    <col min="3" max="3" width="29.5" customWidth="1"/>
    <col min="4" max="4" width="32.7037037037037" customWidth="1"/>
    <col min="6" max="6" width="22.8611111111111" customWidth="1"/>
    <col min="7" max="7" width="15.5555555555556" customWidth="1"/>
    <col min="9" max="9" width="11.4259259259259"/>
  </cols>
  <sheetData>
    <row r="2" ht="18.75" spans="1:4">
      <c r="A2" s="40" t="s">
        <v>177</v>
      </c>
      <c r="B2" s="40"/>
      <c r="C2" s="40"/>
      <c r="D2" s="40"/>
    </row>
    <row r="3" ht="15.15" spans="1:4">
      <c r="A3" s="41" t="s">
        <v>178</v>
      </c>
      <c r="B3" s="41"/>
      <c r="C3" s="41"/>
      <c r="D3" s="41"/>
    </row>
    <row r="4" spans="1:4">
      <c r="A4" s="42" t="s">
        <v>179</v>
      </c>
      <c r="B4" s="43" t="s">
        <v>180</v>
      </c>
      <c r="C4" s="44"/>
      <c r="D4" s="44"/>
    </row>
    <row r="5" spans="1:4">
      <c r="A5" s="45"/>
      <c r="B5" s="46"/>
      <c r="C5" s="46"/>
      <c r="D5" s="46"/>
    </row>
    <row r="6" ht="15.15" spans="1:4">
      <c r="A6" s="47" t="s">
        <v>181</v>
      </c>
      <c r="B6" s="47"/>
      <c r="C6" s="47"/>
      <c r="D6" s="47"/>
    </row>
    <row r="7" ht="15.15" spans="1:4">
      <c r="A7" s="48" t="s">
        <v>42</v>
      </c>
      <c r="B7" s="49" t="s">
        <v>182</v>
      </c>
      <c r="C7" s="50" t="s">
        <v>183</v>
      </c>
      <c r="D7" s="50"/>
    </row>
    <row r="8" spans="1:4">
      <c r="A8" s="51" t="s">
        <v>45</v>
      </c>
      <c r="B8" s="52" t="s">
        <v>184</v>
      </c>
      <c r="C8" s="53" t="s">
        <v>185</v>
      </c>
      <c r="D8" s="53"/>
    </row>
    <row r="9" spans="1:4">
      <c r="A9" s="54" t="s">
        <v>48</v>
      </c>
      <c r="B9" s="55" t="s">
        <v>186</v>
      </c>
      <c r="C9" s="53" t="s">
        <v>187</v>
      </c>
      <c r="D9" s="53"/>
    </row>
    <row r="10" spans="1:4">
      <c r="A10" s="51" t="s">
        <v>53</v>
      </c>
      <c r="B10" s="52" t="s">
        <v>188</v>
      </c>
      <c r="C10" s="53" t="s">
        <v>189</v>
      </c>
      <c r="D10" s="53"/>
    </row>
    <row r="11" ht="15.15" spans="1:4">
      <c r="A11" s="56" t="s">
        <v>190</v>
      </c>
      <c r="B11" s="56"/>
      <c r="C11" s="56"/>
      <c r="D11" s="56"/>
    </row>
    <row r="12" ht="15.9" spans="1:4">
      <c r="A12" s="57" t="s">
        <v>191</v>
      </c>
      <c r="B12" s="57"/>
      <c r="C12" s="56" t="s">
        <v>192</v>
      </c>
      <c r="D12" s="58" t="s">
        <v>193</v>
      </c>
    </row>
    <row r="13" ht="15.15" spans="1:4">
      <c r="A13" s="59" t="s">
        <v>194</v>
      </c>
      <c r="B13" s="59"/>
      <c r="C13" s="53" t="s">
        <v>195</v>
      </c>
      <c r="D13" s="60">
        <f>RESUMO!D3</f>
        <v>1</v>
      </c>
    </row>
    <row r="14" spans="1:4">
      <c r="A14" s="61"/>
      <c r="B14" s="61"/>
      <c r="C14" s="53"/>
      <c r="D14" s="62"/>
    </row>
    <row r="15" ht="15.15" spans="1:7">
      <c r="A15" s="56" t="s">
        <v>14</v>
      </c>
      <c r="B15" s="56"/>
      <c r="C15" s="56"/>
      <c r="D15" s="56"/>
      <c r="F15" s="63"/>
      <c r="G15" s="63"/>
    </row>
    <row r="16" ht="15.15" spans="1:4">
      <c r="A16" s="64" t="s">
        <v>16</v>
      </c>
      <c r="B16" t="s">
        <v>17</v>
      </c>
      <c r="C16" s="64" t="s">
        <v>18</v>
      </c>
      <c r="D16" s="64" t="s">
        <v>19</v>
      </c>
    </row>
    <row r="17" spans="1:4">
      <c r="A17" s="64">
        <v>1</v>
      </c>
      <c r="B17" t="s">
        <v>20</v>
      </c>
      <c r="C17" s="65" t="s">
        <v>102</v>
      </c>
      <c r="D17" s="65" t="str">
        <f>A13</f>
        <v>Auxiliar Administrativo</v>
      </c>
    </row>
    <row r="18" spans="1:4">
      <c r="A18" s="64">
        <v>2</v>
      </c>
      <c r="B18" t="s">
        <v>23</v>
      </c>
      <c r="C18" s="65" t="s">
        <v>196</v>
      </c>
      <c r="D18" s="65" t="s">
        <v>197</v>
      </c>
    </row>
    <row r="19" spans="1:4">
      <c r="A19" s="64">
        <v>3</v>
      </c>
      <c r="B19" t="s">
        <v>26</v>
      </c>
      <c r="C19" s="65" t="str">
        <f>C9</f>
        <v>CCT PB000047/2021</v>
      </c>
      <c r="D19" s="67">
        <v>1148</v>
      </c>
    </row>
    <row r="20" spans="1:4">
      <c r="A20" s="64">
        <v>4</v>
      </c>
      <c r="B20" t="s">
        <v>29</v>
      </c>
      <c r="C20" s="65" t="str">
        <f>C9</f>
        <v>CCT PB000047/2021</v>
      </c>
      <c r="D20" s="68" t="s">
        <v>198</v>
      </c>
    </row>
    <row r="21" spans="1:4">
      <c r="A21" s="64">
        <v>5</v>
      </c>
      <c r="B21" t="s">
        <v>33</v>
      </c>
      <c r="C21" s="65" t="str">
        <f>C9</f>
        <v>CCT PB000047/2021</v>
      </c>
      <c r="D21" s="69" t="s">
        <v>199</v>
      </c>
    </row>
    <row r="22" spans="6:7">
      <c r="F22" s="63"/>
      <c r="G22" s="63"/>
    </row>
    <row r="23" spans="1:4">
      <c r="A23" s="47" t="s">
        <v>36</v>
      </c>
      <c r="B23" s="47"/>
      <c r="C23" s="47"/>
      <c r="D23" s="47"/>
    </row>
    <row r="24" spans="1:7">
      <c r="A24" s="64" t="s">
        <v>39</v>
      </c>
      <c r="B24" s="70" t="s">
        <v>40</v>
      </c>
      <c r="C24" s="64" t="s">
        <v>18</v>
      </c>
      <c r="D24" s="64" t="s">
        <v>19</v>
      </c>
      <c r="G24" s="71"/>
    </row>
    <row r="25" spans="1:7">
      <c r="A25" s="64" t="s">
        <v>42</v>
      </c>
      <c r="B25" t="s">
        <v>43</v>
      </c>
      <c r="C25" s="68" t="s">
        <v>200</v>
      </c>
      <c r="D25" s="67">
        <f>D19</f>
        <v>1148</v>
      </c>
      <c r="G25" s="71"/>
    </row>
    <row r="26" spans="1:7">
      <c r="A26" s="64" t="s">
        <v>45</v>
      </c>
      <c r="B26" t="s">
        <v>46</v>
      </c>
      <c r="C26" s="68"/>
      <c r="D26" s="67">
        <v>0</v>
      </c>
      <c r="G26" s="71"/>
    </row>
    <row r="27" spans="1:4">
      <c r="A27" s="64" t="s">
        <v>48</v>
      </c>
      <c r="B27" t="s">
        <v>49</v>
      </c>
      <c r="C27" s="68"/>
      <c r="D27" s="67">
        <v>0</v>
      </c>
    </row>
    <row r="28" spans="1:4">
      <c r="A28" s="64" t="s">
        <v>50</v>
      </c>
      <c r="B28" t="s">
        <v>51</v>
      </c>
      <c r="C28" s="68"/>
      <c r="D28" s="67">
        <v>0</v>
      </c>
    </row>
    <row r="29" spans="1:4">
      <c r="A29" s="64" t="s">
        <v>53</v>
      </c>
      <c r="B29" t="s">
        <v>54</v>
      </c>
      <c r="C29" s="68"/>
      <c r="D29" s="67">
        <v>0</v>
      </c>
    </row>
    <row r="30" spans="1:4">
      <c r="A30" s="64" t="s">
        <v>55</v>
      </c>
      <c r="B30" t="s">
        <v>56</v>
      </c>
      <c r="C30" s="68"/>
      <c r="D30" s="67">
        <v>0</v>
      </c>
    </row>
    <row r="31" spans="1:7">
      <c r="A31" s="64" t="s">
        <v>58</v>
      </c>
      <c r="C31" s="64"/>
      <c r="D31" s="72">
        <f>TRUNC((SUM(D25:D30)),2)</f>
        <v>1148</v>
      </c>
      <c r="F31" s="63"/>
      <c r="G31" s="63"/>
    </row>
    <row r="33" spans="1:7">
      <c r="A33" s="73" t="s">
        <v>61</v>
      </c>
      <c r="B33" s="73"/>
      <c r="C33" s="73"/>
      <c r="D33" s="73"/>
      <c r="G33" s="71"/>
    </row>
    <row r="35" spans="1:4">
      <c r="A35" s="63" t="s">
        <v>63</v>
      </c>
      <c r="B35" s="63"/>
      <c r="C35" s="63"/>
      <c r="D35" s="63"/>
    </row>
    <row r="36" spans="1:4">
      <c r="A36" s="64" t="s">
        <v>65</v>
      </c>
      <c r="B36" s="70" t="s">
        <v>66</v>
      </c>
      <c r="C36" s="64" t="s">
        <v>38</v>
      </c>
      <c r="D36" s="64" t="s">
        <v>19</v>
      </c>
    </row>
    <row r="37" spans="1:7">
      <c r="A37" s="64" t="s">
        <v>42</v>
      </c>
      <c r="B37" t="s">
        <v>67</v>
      </c>
      <c r="C37" s="74">
        <f>(1/12)</f>
        <v>0.0833333333333333</v>
      </c>
      <c r="D37" s="72">
        <f>TRUNC($D$31*C37,2)</f>
        <v>95.66</v>
      </c>
      <c r="F37" s="75"/>
      <c r="G37" s="75"/>
    </row>
    <row r="38" spans="1:7">
      <c r="A38" s="64" t="s">
        <v>45</v>
      </c>
      <c r="B38" t="s">
        <v>68</v>
      </c>
      <c r="C38" s="74">
        <f>(((1+1/3)/12))</f>
        <v>0.111111111111111</v>
      </c>
      <c r="D38" s="72">
        <f>TRUNC($D$31*C38,2)</f>
        <v>127.55</v>
      </c>
      <c r="F38" s="75"/>
      <c r="G38" s="75"/>
    </row>
    <row r="39" spans="1:7">
      <c r="A39" s="64" t="s">
        <v>58</v>
      </c>
      <c r="D39" s="72">
        <f>TRUNC((SUM(D37:D38)),2)</f>
        <v>223.21</v>
      </c>
      <c r="F39" s="75"/>
      <c r="G39" s="75"/>
    </row>
    <row r="40" ht="15.15" spans="4:7">
      <c r="D40" s="72"/>
      <c r="F40" s="75"/>
      <c r="G40" s="75"/>
    </row>
    <row r="41" ht="15.9" spans="1:7">
      <c r="A41" s="76" t="s">
        <v>201</v>
      </c>
      <c r="B41" s="76"/>
      <c r="C41" s="77" t="s">
        <v>202</v>
      </c>
      <c r="D41" s="78">
        <f>D31</f>
        <v>1148</v>
      </c>
      <c r="F41" s="75"/>
      <c r="G41" s="75"/>
    </row>
    <row r="42" ht="15.9" spans="1:7">
      <c r="A42" s="76"/>
      <c r="B42" s="76"/>
      <c r="C42" s="79" t="s">
        <v>203</v>
      </c>
      <c r="D42" s="78">
        <f>D39</f>
        <v>223.21</v>
      </c>
      <c r="F42" s="75"/>
      <c r="G42" s="75"/>
    </row>
    <row r="43" ht="15.9" spans="1:7">
      <c r="A43" s="76"/>
      <c r="B43" s="76"/>
      <c r="C43" s="77" t="s">
        <v>204</v>
      </c>
      <c r="D43" s="80">
        <f>TRUNC((SUM(D41:D42)),2)</f>
        <v>1371.21</v>
      </c>
      <c r="F43" s="75"/>
      <c r="G43" s="75"/>
    </row>
    <row r="44" ht="15.15" spans="1:7">
      <c r="A44" s="64"/>
      <c r="C44" s="81"/>
      <c r="D44" s="72"/>
      <c r="F44" s="75"/>
      <c r="G44" s="75"/>
    </row>
    <row r="45" spans="1:4">
      <c r="A45" s="63" t="s">
        <v>77</v>
      </c>
      <c r="B45" s="63"/>
      <c r="C45" s="63"/>
      <c r="D45" s="63"/>
    </row>
    <row r="46" spans="1:4">
      <c r="A46" s="64" t="s">
        <v>78</v>
      </c>
      <c r="B46" s="70" t="s">
        <v>79</v>
      </c>
      <c r="C46" s="64" t="s">
        <v>38</v>
      </c>
      <c r="D46" s="64" t="s">
        <v>80</v>
      </c>
    </row>
    <row r="47" spans="1:4">
      <c r="A47" s="64" t="s">
        <v>42</v>
      </c>
      <c r="B47" t="s">
        <v>81</v>
      </c>
      <c r="C47" s="74">
        <v>0.2</v>
      </c>
      <c r="D47" s="72">
        <f t="shared" ref="D47:D54" si="0">TRUNC(($D$43*C47),2)</f>
        <v>274.24</v>
      </c>
    </row>
    <row r="48" spans="1:4">
      <c r="A48" s="64" t="s">
        <v>45</v>
      </c>
      <c r="B48" t="s">
        <v>82</v>
      </c>
      <c r="C48" s="74">
        <v>0.025</v>
      </c>
      <c r="D48" s="72">
        <f t="shared" si="0"/>
        <v>34.28</v>
      </c>
    </row>
    <row r="49" spans="1:4">
      <c r="A49" s="64" t="s">
        <v>48</v>
      </c>
      <c r="B49" t="s">
        <v>205</v>
      </c>
      <c r="C49" s="83">
        <v>0.06</v>
      </c>
      <c r="D49" s="67">
        <f t="shared" si="0"/>
        <v>82.27</v>
      </c>
    </row>
    <row r="50" spans="1:4">
      <c r="A50" s="64" t="s">
        <v>50</v>
      </c>
      <c r="B50" t="s">
        <v>84</v>
      </c>
      <c r="C50" s="74">
        <v>0.015</v>
      </c>
      <c r="D50" s="72">
        <f t="shared" si="0"/>
        <v>20.56</v>
      </c>
    </row>
    <row r="51" spans="1:4">
      <c r="A51" s="64" t="s">
        <v>53</v>
      </c>
      <c r="B51" t="s">
        <v>85</v>
      </c>
      <c r="C51" s="74">
        <v>0.01</v>
      </c>
      <c r="D51" s="72">
        <f t="shared" si="0"/>
        <v>13.71</v>
      </c>
    </row>
    <row r="52" spans="1:4">
      <c r="A52" s="64" t="s">
        <v>55</v>
      </c>
      <c r="B52" t="s">
        <v>86</v>
      </c>
      <c r="C52" s="74">
        <v>0.006</v>
      </c>
      <c r="D52" s="72">
        <f t="shared" si="0"/>
        <v>8.22</v>
      </c>
    </row>
    <row r="53" spans="1:4">
      <c r="A53" s="64" t="s">
        <v>87</v>
      </c>
      <c r="B53" t="s">
        <v>88</v>
      </c>
      <c r="C53" s="74">
        <v>0.002</v>
      </c>
      <c r="D53" s="72">
        <f t="shared" si="0"/>
        <v>2.74</v>
      </c>
    </row>
    <row r="54" spans="1:4">
      <c r="A54" s="64" t="s">
        <v>89</v>
      </c>
      <c r="B54" t="s">
        <v>90</v>
      </c>
      <c r="C54" s="74">
        <v>0.08</v>
      </c>
      <c r="D54" s="72">
        <f t="shared" si="0"/>
        <v>109.69</v>
      </c>
    </row>
    <row r="55" spans="1:4">
      <c r="A55" s="64" t="s">
        <v>58</v>
      </c>
      <c r="C55" s="81">
        <f>SUM(C47:C54)</f>
        <v>0.398</v>
      </c>
      <c r="D55" s="72">
        <v>692.13</v>
      </c>
    </row>
    <row r="56" spans="1:4">
      <c r="A56" s="64"/>
      <c r="C56" s="81"/>
      <c r="D56" s="72"/>
    </row>
    <row r="57" spans="1:4">
      <c r="A57" s="63" t="s">
        <v>95</v>
      </c>
      <c r="B57" s="63"/>
      <c r="C57" s="63"/>
      <c r="D57" s="63"/>
    </row>
    <row r="58" spans="1:4">
      <c r="A58" s="64" t="s">
        <v>96</v>
      </c>
      <c r="B58" s="70" t="s">
        <v>97</v>
      </c>
      <c r="C58" s="64" t="s">
        <v>18</v>
      </c>
      <c r="D58" s="64" t="s">
        <v>19</v>
      </c>
    </row>
    <row r="59" spans="1:4">
      <c r="A59" s="64" t="s">
        <v>42</v>
      </c>
      <c r="B59" t="s">
        <v>98</v>
      </c>
      <c r="C59" s="65"/>
      <c r="D59" s="84">
        <v>0</v>
      </c>
    </row>
    <row r="60" spans="1:4">
      <c r="A60" s="64" t="s">
        <v>45</v>
      </c>
      <c r="B60" t="s">
        <v>99</v>
      </c>
      <c r="C60" s="65" t="str">
        <f>C9</f>
        <v>CCT PB000047/2021</v>
      </c>
      <c r="D60" s="67">
        <f>TRUNC((((22*18))-(((22*18))*0.2)),2)</f>
        <v>316.8</v>
      </c>
    </row>
    <row r="61" spans="1:4">
      <c r="A61" s="64" t="s">
        <v>48</v>
      </c>
      <c r="B61" t="s">
        <v>100</v>
      </c>
      <c r="C61" s="65"/>
      <c r="D61" s="67">
        <v>0</v>
      </c>
    </row>
    <row r="62" spans="1:6">
      <c r="A62" s="85" t="s">
        <v>50</v>
      </c>
      <c r="B62" s="86" t="s">
        <v>206</v>
      </c>
      <c r="C62" s="87"/>
      <c r="D62" s="87">
        <v>0</v>
      </c>
      <c r="F62" s="86"/>
    </row>
    <row r="63" spans="1:4">
      <c r="A63" s="64" t="s">
        <v>53</v>
      </c>
      <c r="B63" s="70" t="s">
        <v>207</v>
      </c>
      <c r="C63" s="65" t="str">
        <f>C60</f>
        <v>CCT PB000047/2021</v>
      </c>
      <c r="D63" s="67">
        <v>15</v>
      </c>
    </row>
    <row r="64" spans="1:4">
      <c r="A64" s="64" t="s">
        <v>55</v>
      </c>
      <c r="B64" s="88" t="s">
        <v>208</v>
      </c>
      <c r="C64" s="87" t="str">
        <f>C60</f>
        <v>CCT PB000047/2021</v>
      </c>
      <c r="D64" s="67">
        <v>5</v>
      </c>
    </row>
    <row r="65" spans="1:4">
      <c r="A65" s="64" t="s">
        <v>58</v>
      </c>
      <c r="D65" s="72">
        <f>TRUNC((SUM(D59:D64)),2)</f>
        <v>336.8</v>
      </c>
    </row>
    <row r="66" spans="1:4">
      <c r="A66" s="64"/>
      <c r="D66" s="72"/>
    </row>
    <row r="67" spans="1:4">
      <c r="A67" s="63" t="s">
        <v>105</v>
      </c>
      <c r="B67" s="63"/>
      <c r="C67" s="63"/>
      <c r="D67" s="63"/>
    </row>
    <row r="68" spans="1:4">
      <c r="A68" s="64" t="s">
        <v>106</v>
      </c>
      <c r="B68" s="70" t="s">
        <v>107</v>
      </c>
      <c r="C68" s="64" t="s">
        <v>18</v>
      </c>
      <c r="D68" s="64" t="s">
        <v>19</v>
      </c>
    </row>
    <row r="69" spans="1:4">
      <c r="A69" s="64" t="s">
        <v>65</v>
      </c>
      <c r="B69" t="s">
        <v>66</v>
      </c>
      <c r="C69" s="64"/>
      <c r="D69" s="72">
        <f>D39</f>
        <v>223.21</v>
      </c>
    </row>
    <row r="70" spans="1:4">
      <c r="A70" s="64" t="s">
        <v>78</v>
      </c>
      <c r="B70" t="s">
        <v>79</v>
      </c>
      <c r="C70" s="64"/>
      <c r="D70" s="72">
        <f>D55</f>
        <v>692.13</v>
      </c>
    </row>
    <row r="71" spans="1:4">
      <c r="A71" s="64" t="s">
        <v>96</v>
      </c>
      <c r="B71" t="s">
        <v>97</v>
      </c>
      <c r="C71" s="64"/>
      <c r="D71" s="72">
        <f>D65</f>
        <v>336.8</v>
      </c>
    </row>
    <row r="72" spans="1:4">
      <c r="A72" s="64" t="s">
        <v>58</v>
      </c>
      <c r="C72" s="64"/>
      <c r="D72" s="72">
        <f>TRUNC((SUM(D69:D71)),2)</f>
        <v>1252.14</v>
      </c>
    </row>
    <row r="74" spans="1:4">
      <c r="A74" s="47" t="s">
        <v>108</v>
      </c>
      <c r="B74" s="47"/>
      <c r="C74" s="47"/>
      <c r="D74" s="47"/>
    </row>
    <row r="75" spans="1:4">
      <c r="A75" s="64" t="s">
        <v>109</v>
      </c>
      <c r="B75" s="70" t="s">
        <v>110</v>
      </c>
      <c r="C75" s="64" t="s">
        <v>38</v>
      </c>
      <c r="D75" s="64" t="s">
        <v>19</v>
      </c>
    </row>
    <row r="76" spans="1:4">
      <c r="A76" s="64" t="s">
        <v>42</v>
      </c>
      <c r="B76" t="s">
        <v>111</v>
      </c>
      <c r="C76" s="83">
        <f>((1/12)*5%)</f>
        <v>0.00416666666666667</v>
      </c>
      <c r="D76" s="67">
        <f>TRUNC(($D$31*C76),2)</f>
        <v>4.78</v>
      </c>
    </row>
    <row r="77" spans="1:4">
      <c r="A77" s="64" t="s">
        <v>45</v>
      </c>
      <c r="B77" t="s">
        <v>112</v>
      </c>
      <c r="C77" s="89">
        <v>0.08</v>
      </c>
      <c r="D77" s="72">
        <f>TRUNC(($D$76*C77),2)</f>
        <v>0.38</v>
      </c>
    </row>
    <row r="78" spans="1:4">
      <c r="A78" s="64" t="s">
        <v>48</v>
      </c>
      <c r="B78" s="90" t="s">
        <v>113</v>
      </c>
      <c r="C78" s="91">
        <f>(0.08*0.4*0.05)</f>
        <v>0.0016</v>
      </c>
      <c r="D78" s="87">
        <f>TRUNC(($D$31*C78),2)</f>
        <v>1.83</v>
      </c>
    </row>
    <row r="79" spans="1:4">
      <c r="A79" s="64" t="s">
        <v>50</v>
      </c>
      <c r="B79" t="s">
        <v>114</v>
      </c>
      <c r="C79" s="92">
        <f>(((7/30)/12)*0.95)</f>
        <v>0.0184722222222222</v>
      </c>
      <c r="D79" s="93">
        <f>TRUNC(($D$31*C79),2)</f>
        <v>21.2</v>
      </c>
    </row>
    <row r="80" spans="1:4">
      <c r="A80" s="64" t="s">
        <v>53</v>
      </c>
      <c r="B80" s="90" t="s">
        <v>209</v>
      </c>
      <c r="C80" s="91">
        <f>C55</f>
        <v>0.398</v>
      </c>
      <c r="D80" s="87">
        <f>TRUNC(($D$79*C80),2)</f>
        <v>8.43</v>
      </c>
    </row>
    <row r="81" spans="1:4">
      <c r="A81" s="64" t="s">
        <v>55</v>
      </c>
      <c r="B81" s="90" t="s">
        <v>115</v>
      </c>
      <c r="C81" s="92">
        <f>(0.08*0.4*0.95)</f>
        <v>0.0304</v>
      </c>
      <c r="D81" s="118">
        <f>TRUNC(($D$31*C81),2)</f>
        <v>34.89</v>
      </c>
    </row>
    <row r="82" spans="1:4">
      <c r="A82" s="64" t="s">
        <v>58</v>
      </c>
      <c r="C82" s="89">
        <f>SUM(C76:C81)</f>
        <v>0.532638888888889</v>
      </c>
      <c r="D82" s="72">
        <f>TRUNC((SUM(D76:D81)),2)</f>
        <v>71.51</v>
      </c>
    </row>
    <row r="83" ht="15.15" spans="1:4">
      <c r="A83" s="64"/>
      <c r="D83" s="72"/>
    </row>
    <row r="84" ht="15.9" spans="1:4">
      <c r="A84" s="76" t="s">
        <v>210</v>
      </c>
      <c r="B84" s="76"/>
      <c r="C84" s="77" t="s">
        <v>202</v>
      </c>
      <c r="D84" s="78">
        <f>D31</f>
        <v>1148</v>
      </c>
    </row>
    <row r="85" ht="15.9" spans="1:4">
      <c r="A85" s="76"/>
      <c r="B85" s="76"/>
      <c r="C85" s="79" t="s">
        <v>211</v>
      </c>
      <c r="D85" s="78">
        <f>D72</f>
        <v>1252.14</v>
      </c>
    </row>
    <row r="86" ht="15.9" spans="1:4">
      <c r="A86" s="76"/>
      <c r="B86" s="76"/>
      <c r="C86" s="77" t="s">
        <v>212</v>
      </c>
      <c r="D86" s="78">
        <f>D82</f>
        <v>71.51</v>
      </c>
    </row>
    <row r="87" ht="15.9" spans="1:4">
      <c r="A87" s="76"/>
      <c r="B87" s="76"/>
      <c r="C87" s="79" t="s">
        <v>204</v>
      </c>
      <c r="D87" s="80">
        <f>TRUNC((SUM(D84:D86)),2)</f>
        <v>2471.65</v>
      </c>
    </row>
    <row r="88" ht="15.15" spans="1:4">
      <c r="A88" s="64"/>
      <c r="D88" s="72"/>
    </row>
    <row r="89" spans="1:4">
      <c r="A89" s="94" t="s">
        <v>127</v>
      </c>
      <c r="B89" s="94"/>
      <c r="C89" s="94"/>
      <c r="D89" s="94"/>
    </row>
    <row r="90" spans="1:4">
      <c r="A90" s="63" t="s">
        <v>128</v>
      </c>
      <c r="B90" s="63"/>
      <c r="C90" s="63"/>
      <c r="D90" s="63"/>
    </row>
    <row r="91" spans="1:4">
      <c r="A91" s="64" t="s">
        <v>129</v>
      </c>
      <c r="B91" s="70" t="s">
        <v>130</v>
      </c>
      <c r="C91" s="64" t="s">
        <v>38</v>
      </c>
      <c r="D91" s="64" t="s">
        <v>19</v>
      </c>
    </row>
    <row r="92" spans="1:4">
      <c r="A92" s="64" t="s">
        <v>42</v>
      </c>
      <c r="B92" t="s">
        <v>213</v>
      </c>
      <c r="C92" s="89">
        <f>(((1+1/3)/12)/12)+((1/12)/12)</f>
        <v>0.0162037037037037</v>
      </c>
      <c r="D92" s="72">
        <f>TRUNC(($D$87*C92),2)</f>
        <v>40.04</v>
      </c>
    </row>
    <row r="93" spans="1:4">
      <c r="A93" s="64" t="s">
        <v>45</v>
      </c>
      <c r="B93" t="s">
        <v>133</v>
      </c>
      <c r="C93" s="83">
        <f>((2/30)/12)</f>
        <v>0.00555555555555556</v>
      </c>
      <c r="D93" s="87">
        <f t="shared" ref="D92:D96" si="1">TRUNC(($D$87*C93),2)</f>
        <v>13.73</v>
      </c>
    </row>
    <row r="94" spans="1:4">
      <c r="A94" s="64" t="s">
        <v>48</v>
      </c>
      <c r="B94" t="s">
        <v>134</v>
      </c>
      <c r="C94" s="83">
        <f>((5/30)/12)*0.02</f>
        <v>0.000277777777777778</v>
      </c>
      <c r="D94" s="87">
        <f t="shared" si="1"/>
        <v>0.68</v>
      </c>
    </row>
    <row r="95" spans="1:4">
      <c r="A95" s="85" t="s">
        <v>50</v>
      </c>
      <c r="B95" s="90" t="s">
        <v>135</v>
      </c>
      <c r="C95" s="91">
        <f>((15/30)/12)*0.08</f>
        <v>0.00333333333333333</v>
      </c>
      <c r="D95" s="87">
        <f t="shared" si="1"/>
        <v>8.23</v>
      </c>
    </row>
    <row r="96" spans="1:4">
      <c r="A96" s="64" t="s">
        <v>53</v>
      </c>
      <c r="B96" t="s">
        <v>136</v>
      </c>
      <c r="C96" s="83">
        <f>((1+1/3)/12)*0.03*((4/12))</f>
        <v>0.00111111111111111</v>
      </c>
      <c r="D96" s="87">
        <f t="shared" si="1"/>
        <v>2.74</v>
      </c>
    </row>
    <row r="97" spans="1:4">
      <c r="A97" s="64" t="s">
        <v>55</v>
      </c>
      <c r="B97" s="90" t="s">
        <v>214</v>
      </c>
      <c r="C97" s="95">
        <v>0</v>
      </c>
      <c r="D97" s="87">
        <f>TRUNC($D$87*C97)</f>
        <v>0</v>
      </c>
    </row>
    <row r="98" spans="1:4">
      <c r="A98" s="64" t="s">
        <v>58</v>
      </c>
      <c r="C98" s="89">
        <f>SUM(C92:C97)</f>
        <v>0.0264814814814815</v>
      </c>
      <c r="D98" s="72">
        <f>TRUNC((SUM(D92:D97)),2)</f>
        <v>65.42</v>
      </c>
    </row>
    <row r="99" spans="1:4">
      <c r="A99" s="64"/>
      <c r="C99" s="64"/>
      <c r="D99" s="72"/>
    </row>
    <row r="100" spans="1:4">
      <c r="A100" s="63" t="s">
        <v>144</v>
      </c>
      <c r="B100" s="63"/>
      <c r="C100" s="63"/>
      <c r="D100" s="63"/>
    </row>
    <row r="101" spans="1:4">
      <c r="A101" s="64" t="s">
        <v>145</v>
      </c>
      <c r="B101" s="70" t="s">
        <v>146</v>
      </c>
      <c r="C101" s="64" t="s">
        <v>18</v>
      </c>
      <c r="D101" s="64" t="s">
        <v>19</v>
      </c>
    </row>
    <row r="102" ht="72" spans="1:4">
      <c r="A102" s="85" t="s">
        <v>42</v>
      </c>
      <c r="B102" s="96" t="s">
        <v>147</v>
      </c>
      <c r="C102" s="97" t="s">
        <v>215</v>
      </c>
      <c r="D102" s="98" t="s">
        <v>216</v>
      </c>
    </row>
    <row r="103" spans="1:4">
      <c r="A103" s="64" t="s">
        <v>58</v>
      </c>
      <c r="C103" s="119"/>
      <c r="D103" s="99" t="str">
        <f>D102</f>
        <v>*=TRUNCAR(($D$86/220)*(1*(365/12))/2)</v>
      </c>
    </row>
    <row r="105" spans="1:4">
      <c r="A105" s="63" t="s">
        <v>148</v>
      </c>
      <c r="B105" s="63"/>
      <c r="C105" s="63"/>
      <c r="D105" s="63"/>
    </row>
    <row r="106" spans="1:4">
      <c r="A106" s="64" t="s">
        <v>149</v>
      </c>
      <c r="B106" s="70" t="s">
        <v>150</v>
      </c>
      <c r="C106" s="64" t="s">
        <v>18</v>
      </c>
      <c r="D106" s="64" t="s">
        <v>19</v>
      </c>
    </row>
    <row r="107" spans="1:4">
      <c r="A107" s="64" t="s">
        <v>129</v>
      </c>
      <c r="B107" t="s">
        <v>130</v>
      </c>
      <c r="D107" s="67">
        <f>D98</f>
        <v>65.42</v>
      </c>
    </row>
    <row r="108" spans="1:4">
      <c r="A108" s="64" t="s">
        <v>145</v>
      </c>
      <c r="B108" t="s">
        <v>151</v>
      </c>
      <c r="C108" s="70"/>
      <c r="D108" s="100" t="str">
        <f>Submódulo4.260_55107[[#Totals],[Valor]]</f>
        <v>*=TRUNCAR(($D$86/220)*(1*(365/12))/2)</v>
      </c>
    </row>
    <row r="109" ht="43.2" spans="1:4">
      <c r="A109" s="85" t="s">
        <v>58</v>
      </c>
      <c r="B109" s="86"/>
      <c r="C109" s="97" t="s">
        <v>217</v>
      </c>
      <c r="D109" s="101">
        <f>TRUNC((SUM(D107:D108)),2)</f>
        <v>65.42</v>
      </c>
    </row>
    <row r="111" spans="1:4">
      <c r="A111" s="47" t="s">
        <v>152</v>
      </c>
      <c r="B111" s="47"/>
      <c r="C111" s="47"/>
      <c r="D111" s="47"/>
    </row>
    <row r="112" ht="37" customHeight="1" spans="1:4">
      <c r="A112" s="85" t="s">
        <v>153</v>
      </c>
      <c r="B112" s="86" t="s">
        <v>154</v>
      </c>
      <c r="C112" s="85" t="s">
        <v>18</v>
      </c>
      <c r="D112" s="85" t="s">
        <v>19</v>
      </c>
    </row>
    <row r="113" spans="1:4">
      <c r="A113" s="64" t="s">
        <v>42</v>
      </c>
      <c r="B113" t="s">
        <v>218</v>
      </c>
      <c r="D113" s="120">
        <f>Uniformes!G11</f>
        <v>92.4</v>
      </c>
    </row>
    <row r="114" spans="1:4">
      <c r="A114" s="64" t="s">
        <v>45</v>
      </c>
      <c r="B114" t="s">
        <v>219</v>
      </c>
      <c r="D114" s="87">
        <v>0</v>
      </c>
    </row>
    <row r="115" spans="1:4">
      <c r="A115" s="64" t="s">
        <v>48</v>
      </c>
      <c r="B115" t="s">
        <v>156</v>
      </c>
      <c r="D115" s="87">
        <v>0</v>
      </c>
    </row>
    <row r="116" spans="1:4">
      <c r="A116" s="64" t="s">
        <v>50</v>
      </c>
      <c r="B116" t="s">
        <v>157</v>
      </c>
      <c r="D116" s="87">
        <v>0</v>
      </c>
    </row>
    <row r="117" spans="1:4">
      <c r="A117" s="64" t="s">
        <v>53</v>
      </c>
      <c r="B117" t="s">
        <v>220</v>
      </c>
      <c r="C117" s="64"/>
      <c r="D117" s="121">
        <v>0</v>
      </c>
    </row>
    <row r="118" spans="1:4">
      <c r="A118" s="64" t="s">
        <v>58</v>
      </c>
      <c r="D118" s="101">
        <f>TRUNC(SUM(D113:D117),2)</f>
        <v>92.4</v>
      </c>
    </row>
    <row r="119" ht="15.15"/>
    <row r="120" ht="15.9" spans="1:4">
      <c r="A120" s="76" t="s">
        <v>221</v>
      </c>
      <c r="B120" s="76"/>
      <c r="C120" s="77" t="s">
        <v>202</v>
      </c>
      <c r="D120" s="78">
        <f>D31</f>
        <v>1148</v>
      </c>
    </row>
    <row r="121" ht="15.9" spans="1:4">
      <c r="A121" s="76"/>
      <c r="B121" s="76"/>
      <c r="C121" s="79" t="s">
        <v>211</v>
      </c>
      <c r="D121" s="78">
        <f>D72</f>
        <v>1252.14</v>
      </c>
    </row>
    <row r="122" ht="15.9" spans="1:4">
      <c r="A122" s="76"/>
      <c r="B122" s="76"/>
      <c r="C122" s="77" t="s">
        <v>212</v>
      </c>
      <c r="D122" s="78">
        <f>D82</f>
        <v>71.51</v>
      </c>
    </row>
    <row r="123" ht="15.9" spans="1:4">
      <c r="A123" s="76"/>
      <c r="B123" s="76"/>
      <c r="C123" s="79" t="s">
        <v>222</v>
      </c>
      <c r="D123" s="78">
        <f>D109</f>
        <v>65.42</v>
      </c>
    </row>
    <row r="124" ht="15.9" spans="1:4">
      <c r="A124" s="76"/>
      <c r="B124" s="76"/>
      <c r="C124" s="77" t="s">
        <v>223</v>
      </c>
      <c r="D124" s="78">
        <f>D118</f>
        <v>92.4</v>
      </c>
    </row>
    <row r="125" ht="15.9" spans="1:4">
      <c r="A125" s="76"/>
      <c r="B125" s="76"/>
      <c r="C125" s="79" t="s">
        <v>204</v>
      </c>
      <c r="D125" s="80">
        <f>TRUNC((SUM(D120:D124)),2)</f>
        <v>2629.47</v>
      </c>
    </row>
    <row r="126" ht="15.15"/>
    <row r="127" spans="1:4">
      <c r="A127" s="47" t="s">
        <v>164</v>
      </c>
      <c r="B127" s="47"/>
      <c r="C127" s="47"/>
      <c r="D127" s="47"/>
    </row>
    <row r="128" spans="1:7">
      <c r="A128" s="64" t="s">
        <v>165</v>
      </c>
      <c r="B128" t="s">
        <v>166</v>
      </c>
      <c r="C128" s="64" t="s">
        <v>38</v>
      </c>
      <c r="D128" s="64" t="s">
        <v>19</v>
      </c>
      <c r="F128" s="104" t="s">
        <v>224</v>
      </c>
      <c r="G128" s="104"/>
    </row>
    <row r="129" ht="15.15" spans="1:7">
      <c r="A129" s="64" t="s">
        <v>42</v>
      </c>
      <c r="B129" t="s">
        <v>167</v>
      </c>
      <c r="C129" s="105">
        <v>0.044</v>
      </c>
      <c r="D129" s="102">
        <f>TRUNC(($D$125*C129),2)</f>
        <v>115.69</v>
      </c>
      <c r="F129" s="106" t="s">
        <v>225</v>
      </c>
      <c r="G129" s="91">
        <f>C131</f>
        <v>0.0865</v>
      </c>
    </row>
    <row r="130" ht="15.15" spans="1:7">
      <c r="A130" s="64" t="s">
        <v>45</v>
      </c>
      <c r="B130" t="s">
        <v>59</v>
      </c>
      <c r="C130" s="105">
        <v>0.0413</v>
      </c>
      <c r="D130" s="102">
        <f>TRUNC((C130*(D125+D129)),2)</f>
        <v>113.37</v>
      </c>
      <c r="F130" s="107" t="s">
        <v>226</v>
      </c>
      <c r="G130" s="122">
        <f>TRUNC(SUM(D125,D129,D130),2)</f>
        <v>2858.53</v>
      </c>
    </row>
    <row r="131" ht="15.15" spans="1:7">
      <c r="A131" s="64" t="s">
        <v>48</v>
      </c>
      <c r="B131" t="s">
        <v>168</v>
      </c>
      <c r="C131" s="83">
        <f>SUM(C132:C134)</f>
        <v>0.0865</v>
      </c>
      <c r="D131" s="67">
        <f>SUM(D132:D134)</f>
        <v>270.66</v>
      </c>
      <c r="F131" s="106" t="s">
        <v>227</v>
      </c>
      <c r="G131" s="109">
        <f>(100-8.65)/100</f>
        <v>0.9135</v>
      </c>
    </row>
    <row r="132" spans="1:7">
      <c r="A132" s="64"/>
      <c r="B132" t="s">
        <v>228</v>
      </c>
      <c r="C132" s="83">
        <v>0.0065</v>
      </c>
      <c r="D132" s="67">
        <f t="shared" ref="D132:D134" si="2">TRUNC(($G$132*C132),2)</f>
        <v>20.33</v>
      </c>
      <c r="F132" s="107" t="s">
        <v>224</v>
      </c>
      <c r="G132" s="122">
        <f>TRUNC((G130/G131),2)</f>
        <v>3129.2</v>
      </c>
    </row>
    <row r="133" spans="1:4">
      <c r="A133" s="64"/>
      <c r="B133" t="s">
        <v>229</v>
      </c>
      <c r="C133" s="83">
        <v>0.03</v>
      </c>
      <c r="D133" s="67">
        <f t="shared" si="2"/>
        <v>93.87</v>
      </c>
    </row>
    <row r="134" spans="1:4">
      <c r="A134" s="64"/>
      <c r="B134" t="s">
        <v>230</v>
      </c>
      <c r="C134" s="83">
        <v>0.05</v>
      </c>
      <c r="D134" s="67">
        <f t="shared" si="2"/>
        <v>156.46</v>
      </c>
    </row>
    <row r="135" spans="1:4">
      <c r="A135" s="64" t="s">
        <v>58</v>
      </c>
      <c r="B135" s="123"/>
      <c r="C135" s="110"/>
      <c r="D135" s="72">
        <f>SUM(D129:D131)</f>
        <v>499.72</v>
      </c>
    </row>
    <row r="136" spans="1:4">
      <c r="A136" s="64"/>
      <c r="C136" s="110"/>
      <c r="D136" s="72"/>
    </row>
    <row r="138" spans="1:4">
      <c r="A138" s="47" t="s">
        <v>172</v>
      </c>
      <c r="B138" s="47"/>
      <c r="C138" s="47"/>
      <c r="D138" s="47"/>
    </row>
    <row r="139" spans="1:4">
      <c r="A139" s="64" t="s">
        <v>16</v>
      </c>
      <c r="B139" s="64" t="s">
        <v>173</v>
      </c>
      <c r="C139" s="64" t="s">
        <v>102</v>
      </c>
      <c r="D139" s="64" t="s">
        <v>19</v>
      </c>
    </row>
    <row r="140" spans="1:4">
      <c r="A140" s="64" t="s">
        <v>42</v>
      </c>
      <c r="B140" t="s">
        <v>36</v>
      </c>
      <c r="D140" s="72">
        <f>D31</f>
        <v>1148</v>
      </c>
    </row>
    <row r="141" spans="1:4">
      <c r="A141" s="64" t="s">
        <v>45</v>
      </c>
      <c r="B141" t="s">
        <v>61</v>
      </c>
      <c r="D141" s="72">
        <f>D72</f>
        <v>1252.14</v>
      </c>
    </row>
    <row r="142" spans="1:4">
      <c r="A142" s="64" t="s">
        <v>48</v>
      </c>
      <c r="B142" t="s">
        <v>108</v>
      </c>
      <c r="D142" s="72">
        <f>D82</f>
        <v>71.51</v>
      </c>
    </row>
    <row r="143" spans="1:4">
      <c r="A143" s="64" t="s">
        <v>50</v>
      </c>
      <c r="B143" t="s">
        <v>174</v>
      </c>
      <c r="D143" s="72">
        <f>D109</f>
        <v>65.42</v>
      </c>
    </row>
    <row r="144" spans="1:4">
      <c r="A144" s="64" t="s">
        <v>53</v>
      </c>
      <c r="B144" t="s">
        <v>152</v>
      </c>
      <c r="D144" s="72">
        <f>D118</f>
        <v>92.4</v>
      </c>
    </row>
    <row r="145" spans="2:4">
      <c r="B145" s="111" t="s">
        <v>175</v>
      </c>
      <c r="D145" s="72">
        <f>SUM(D140:D144)</f>
        <v>2629.47</v>
      </c>
    </row>
    <row r="146" spans="1:4">
      <c r="A146" s="64" t="s">
        <v>55</v>
      </c>
      <c r="B146" t="s">
        <v>164</v>
      </c>
      <c r="D146" s="72">
        <f>D135</f>
        <v>499.72</v>
      </c>
    </row>
    <row r="147" spans="1:4">
      <c r="A147" s="112"/>
      <c r="B147" s="113" t="s">
        <v>231</v>
      </c>
      <c r="C147" s="112"/>
      <c r="D147" s="114">
        <f>TRUNC((SUM(D140:D144)+D146),2)</f>
        <v>3129.19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34" workbookViewId="0">
      <selection activeCell="F156" sqref="F156"/>
    </sheetView>
  </sheetViews>
  <sheetFormatPr defaultColWidth="9.13888888888889" defaultRowHeight="14.4" outlineLevelCol="6"/>
  <cols>
    <col min="1" max="1" width="10.7777777777778" customWidth="1"/>
    <col min="2" max="2" width="48.2222222222222" customWidth="1"/>
    <col min="3" max="3" width="26.1111111111111" customWidth="1"/>
    <col min="4" max="4" width="35.3333333333333" customWidth="1"/>
    <col min="6" max="6" width="22.8611111111111" customWidth="1"/>
    <col min="7" max="7" width="13.4259259259259" customWidth="1"/>
    <col min="8" max="8" width="11" customWidth="1"/>
    <col min="9" max="9" width="11.4259259259259" customWidth="1"/>
  </cols>
  <sheetData>
    <row r="2" ht="18.75" spans="1:4">
      <c r="A2" s="40" t="s">
        <v>177</v>
      </c>
      <c r="B2" s="40"/>
      <c r="C2" s="40"/>
      <c r="D2" s="40"/>
    </row>
    <row r="3" ht="15.15" spans="1:4">
      <c r="A3" s="41" t="s">
        <v>178</v>
      </c>
      <c r="B3" s="41"/>
      <c r="C3" s="41"/>
      <c r="D3" s="41"/>
    </row>
    <row r="4" spans="1:4">
      <c r="A4" s="42" t="s">
        <v>179</v>
      </c>
      <c r="B4" s="43" t="s">
        <v>180</v>
      </c>
      <c r="C4" s="44"/>
      <c r="D4" s="44"/>
    </row>
    <row r="5" spans="1:4">
      <c r="A5" s="45"/>
      <c r="B5" s="46"/>
      <c r="C5" s="46"/>
      <c r="D5" s="46"/>
    </row>
    <row r="6" ht="15.15" spans="1:4">
      <c r="A6" s="47" t="s">
        <v>181</v>
      </c>
      <c r="B6" s="47"/>
      <c r="C6" s="47"/>
      <c r="D6" s="47"/>
    </row>
    <row r="7" ht="15.15" spans="1:4">
      <c r="A7" s="48" t="s">
        <v>42</v>
      </c>
      <c r="B7" s="49" t="s">
        <v>182</v>
      </c>
      <c r="C7" s="50" t="s">
        <v>183</v>
      </c>
      <c r="D7" s="50"/>
    </row>
    <row r="8" spans="1:4">
      <c r="A8" s="51" t="s">
        <v>45</v>
      </c>
      <c r="B8" s="52" t="s">
        <v>184</v>
      </c>
      <c r="C8" s="53" t="s">
        <v>185</v>
      </c>
      <c r="D8" s="53"/>
    </row>
    <row r="9" spans="1:4">
      <c r="A9" s="54" t="s">
        <v>48</v>
      </c>
      <c r="B9" s="55" t="s">
        <v>186</v>
      </c>
      <c r="C9" s="53" t="s">
        <v>187</v>
      </c>
      <c r="D9" s="53"/>
    </row>
    <row r="10" spans="1:4">
      <c r="A10" s="51" t="s">
        <v>53</v>
      </c>
      <c r="B10" s="52" t="s">
        <v>188</v>
      </c>
      <c r="C10" s="53" t="s">
        <v>189</v>
      </c>
      <c r="D10" s="53"/>
    </row>
    <row r="11" ht="15.15" spans="1:4">
      <c r="A11" s="56" t="s">
        <v>190</v>
      </c>
      <c r="B11" s="56"/>
      <c r="C11" s="56"/>
      <c r="D11" s="56"/>
    </row>
    <row r="12" ht="15.9" spans="1:4">
      <c r="A12" s="57" t="s">
        <v>191</v>
      </c>
      <c r="B12" s="57"/>
      <c r="C12" s="56" t="s">
        <v>192</v>
      </c>
      <c r="D12" s="58" t="s">
        <v>193</v>
      </c>
    </row>
    <row r="13" ht="15.15" spans="1:4">
      <c r="A13" s="59" t="s">
        <v>232</v>
      </c>
      <c r="B13" s="59"/>
      <c r="C13" s="53" t="s">
        <v>233</v>
      </c>
      <c r="D13" s="60">
        <f>RESUMO!D4</f>
        <v>1</v>
      </c>
    </row>
    <row r="14" spans="1:4">
      <c r="A14" s="61"/>
      <c r="B14" s="61"/>
      <c r="C14" s="53"/>
      <c r="D14" s="62"/>
    </row>
    <row r="15" ht="15.15" spans="1:7">
      <c r="A15" s="56" t="s">
        <v>14</v>
      </c>
      <c r="B15" s="56"/>
      <c r="C15" s="56"/>
      <c r="D15" s="56"/>
      <c r="F15" s="63"/>
      <c r="G15" s="63"/>
    </row>
    <row r="16" ht="15.15" spans="1:4">
      <c r="A16" s="64" t="s">
        <v>16</v>
      </c>
      <c r="B16" t="s">
        <v>17</v>
      </c>
      <c r="C16" s="64" t="s">
        <v>18</v>
      </c>
      <c r="D16" s="64" t="s">
        <v>19</v>
      </c>
    </row>
    <row r="17" spans="1:6">
      <c r="A17" s="64">
        <v>1</v>
      </c>
      <c r="B17" t="s">
        <v>20</v>
      </c>
      <c r="C17" s="65" t="s">
        <v>102</v>
      </c>
      <c r="D17" s="65" t="str">
        <f>A13</f>
        <v>Agente de Portaria</v>
      </c>
      <c r="F17" s="66"/>
    </row>
    <row r="18" spans="1:4">
      <c r="A18" s="64">
        <v>2</v>
      </c>
      <c r="B18" t="s">
        <v>23</v>
      </c>
      <c r="C18" s="65" t="s">
        <v>196</v>
      </c>
      <c r="D18" s="65" t="s">
        <v>234</v>
      </c>
    </row>
    <row r="19" spans="1:4">
      <c r="A19" s="64">
        <v>3</v>
      </c>
      <c r="B19" t="s">
        <v>26</v>
      </c>
      <c r="C19" s="65" t="str">
        <f>C9</f>
        <v>CCT PB000047/2021</v>
      </c>
      <c r="D19" s="67">
        <v>1124</v>
      </c>
    </row>
    <row r="20" spans="1:4">
      <c r="A20" s="64">
        <v>4</v>
      </c>
      <c r="B20" t="s">
        <v>29</v>
      </c>
      <c r="C20" s="65" t="str">
        <f>C9</f>
        <v>CCT PB000047/2021</v>
      </c>
      <c r="D20" s="68" t="s">
        <v>198</v>
      </c>
    </row>
    <row r="21" spans="1:4">
      <c r="A21" s="64">
        <v>5</v>
      </c>
      <c r="B21" t="s">
        <v>33</v>
      </c>
      <c r="C21" s="65" t="str">
        <f>C9</f>
        <v>CCT PB000047/2021</v>
      </c>
      <c r="D21" s="69" t="s">
        <v>199</v>
      </c>
    </row>
    <row r="22" spans="6:7">
      <c r="F22" s="63"/>
      <c r="G22" s="63"/>
    </row>
    <row r="23" spans="1:4">
      <c r="A23" s="47" t="s">
        <v>36</v>
      </c>
      <c r="B23" s="47"/>
      <c r="C23" s="47"/>
      <c r="D23" s="47"/>
    </row>
    <row r="24" spans="1:7">
      <c r="A24" s="64" t="s">
        <v>39</v>
      </c>
      <c r="B24" s="70" t="s">
        <v>40</v>
      </c>
      <c r="C24" s="64" t="s">
        <v>18</v>
      </c>
      <c r="D24" s="64" t="s">
        <v>19</v>
      </c>
      <c r="G24" s="71"/>
    </row>
    <row r="25" spans="1:7">
      <c r="A25" s="64" t="s">
        <v>42</v>
      </c>
      <c r="B25" t="s">
        <v>43</v>
      </c>
      <c r="C25" s="68" t="s">
        <v>235</v>
      </c>
      <c r="D25" s="67">
        <f>D19</f>
        <v>1124</v>
      </c>
      <c r="G25" s="71"/>
    </row>
    <row r="26" spans="1:7">
      <c r="A26" s="64" t="s">
        <v>45</v>
      </c>
      <c r="B26" t="s">
        <v>46</v>
      </c>
      <c r="C26" s="68"/>
      <c r="D26" s="67">
        <v>0</v>
      </c>
      <c r="G26" s="71"/>
    </row>
    <row r="27" spans="1:4">
      <c r="A27" s="64" t="s">
        <v>48</v>
      </c>
      <c r="B27" t="s">
        <v>49</v>
      </c>
      <c r="C27" s="68"/>
      <c r="D27" s="67">
        <v>0</v>
      </c>
    </row>
    <row r="28" spans="1:4">
      <c r="A28" s="64" t="s">
        <v>50</v>
      </c>
      <c r="B28" t="s">
        <v>51</v>
      </c>
      <c r="C28" s="68"/>
      <c r="D28" s="67">
        <v>0</v>
      </c>
    </row>
    <row r="29" spans="1:4">
      <c r="A29" s="64" t="s">
        <v>53</v>
      </c>
      <c r="B29" t="s">
        <v>54</v>
      </c>
      <c r="C29" s="68"/>
      <c r="D29" s="67">
        <v>0</v>
      </c>
    </row>
    <row r="30" spans="1:4">
      <c r="A30" s="64" t="s">
        <v>55</v>
      </c>
      <c r="B30" t="s">
        <v>56</v>
      </c>
      <c r="C30" s="68"/>
      <c r="D30" s="67">
        <v>0</v>
      </c>
    </row>
    <row r="31" spans="1:7">
      <c r="A31" s="64" t="s">
        <v>58</v>
      </c>
      <c r="C31" s="64"/>
      <c r="D31" s="72">
        <f>TRUNC((SUM(D25:D30)),2)</f>
        <v>1124</v>
      </c>
      <c r="F31" s="63"/>
      <c r="G31" s="63"/>
    </row>
    <row r="33" spans="1:7">
      <c r="A33" s="73" t="s">
        <v>61</v>
      </c>
      <c r="B33" s="73"/>
      <c r="C33" s="73"/>
      <c r="D33" s="73"/>
      <c r="G33" s="71"/>
    </row>
    <row r="35" spans="1:4">
      <c r="A35" s="63" t="s">
        <v>63</v>
      </c>
      <c r="B35" s="63"/>
      <c r="C35" s="63"/>
      <c r="D35" s="63"/>
    </row>
    <row r="36" spans="1:4">
      <c r="A36" s="64" t="s">
        <v>65</v>
      </c>
      <c r="B36" s="70" t="s">
        <v>66</v>
      </c>
      <c r="C36" s="64" t="s">
        <v>38</v>
      </c>
      <c r="D36" s="64" t="s">
        <v>19</v>
      </c>
    </row>
    <row r="37" spans="1:7">
      <c r="A37" s="64" t="s">
        <v>42</v>
      </c>
      <c r="B37" t="s">
        <v>67</v>
      </c>
      <c r="C37" s="74">
        <f>(1/12)</f>
        <v>0.0833333333333333</v>
      </c>
      <c r="D37" s="72">
        <f>TRUNC($D$31*C37,2)</f>
        <v>93.66</v>
      </c>
      <c r="F37" s="75"/>
      <c r="G37" s="75"/>
    </row>
    <row r="38" spans="1:7">
      <c r="A38" s="64" t="s">
        <v>45</v>
      </c>
      <c r="B38" t="s">
        <v>68</v>
      </c>
      <c r="C38" s="74">
        <f>(((1+1/3)/12))</f>
        <v>0.111111111111111</v>
      </c>
      <c r="D38" s="72">
        <f>TRUNC($D$31*C38,2)</f>
        <v>124.88</v>
      </c>
      <c r="F38" s="75"/>
      <c r="G38" s="75"/>
    </row>
    <row r="39" spans="1:7">
      <c r="A39" s="64" t="s">
        <v>58</v>
      </c>
      <c r="D39" s="72">
        <f>TRUNC((SUM(D37:D38)),2)</f>
        <v>218.54</v>
      </c>
      <c r="F39" s="75"/>
      <c r="G39" s="75"/>
    </row>
    <row r="40" ht="15.15" spans="4:7">
      <c r="D40" s="72"/>
      <c r="F40" s="75"/>
      <c r="G40" s="75"/>
    </row>
    <row r="41" ht="15.9" spans="1:7">
      <c r="A41" s="76" t="s">
        <v>201</v>
      </c>
      <c r="B41" s="76"/>
      <c r="C41" s="77" t="s">
        <v>202</v>
      </c>
      <c r="D41" s="78">
        <f>D31</f>
        <v>1124</v>
      </c>
      <c r="F41" s="75"/>
      <c r="G41" s="75"/>
    </row>
    <row r="42" ht="15.9" spans="1:7">
      <c r="A42" s="76"/>
      <c r="B42" s="76"/>
      <c r="C42" s="79" t="s">
        <v>203</v>
      </c>
      <c r="D42" s="78">
        <f>D39</f>
        <v>218.54</v>
      </c>
      <c r="F42" s="75"/>
      <c r="G42" s="75"/>
    </row>
    <row r="43" ht="15.9" spans="1:7">
      <c r="A43" s="76"/>
      <c r="B43" s="76"/>
      <c r="C43" s="77" t="s">
        <v>204</v>
      </c>
      <c r="D43" s="80">
        <f>TRUNC(SUM(D41:D42),2)</f>
        <v>1342.54</v>
      </c>
      <c r="F43" s="75"/>
      <c r="G43" s="75"/>
    </row>
    <row r="44" ht="15.15" spans="1:7">
      <c r="A44" s="64"/>
      <c r="C44" s="81"/>
      <c r="D44" s="72"/>
      <c r="F44" s="75"/>
      <c r="G44" s="75"/>
    </row>
    <row r="45" spans="1:4">
      <c r="A45" s="63" t="s">
        <v>77</v>
      </c>
      <c r="B45" s="63"/>
      <c r="C45" s="63"/>
      <c r="D45" s="63"/>
    </row>
    <row r="46" spans="1:4">
      <c r="A46" s="64" t="s">
        <v>78</v>
      </c>
      <c r="B46" s="70" t="s">
        <v>79</v>
      </c>
      <c r="C46" s="64" t="s">
        <v>38</v>
      </c>
      <c r="D46" s="64" t="s">
        <v>80</v>
      </c>
    </row>
    <row r="47" spans="1:4">
      <c r="A47" s="64" t="s">
        <v>42</v>
      </c>
      <c r="B47" t="s">
        <v>81</v>
      </c>
      <c r="C47" s="74">
        <v>0.2</v>
      </c>
      <c r="D47" s="82">
        <f t="shared" ref="D47:D54" si="0">TRUNC(($D$43*C47),2)</f>
        <v>268.5</v>
      </c>
    </row>
    <row r="48" spans="1:4">
      <c r="A48" s="64" t="s">
        <v>45</v>
      </c>
      <c r="B48" t="s">
        <v>82</v>
      </c>
      <c r="C48" s="74">
        <v>0.025</v>
      </c>
      <c r="D48" s="82">
        <f t="shared" si="0"/>
        <v>33.56</v>
      </c>
    </row>
    <row r="49" spans="1:4">
      <c r="A49" s="64" t="s">
        <v>48</v>
      </c>
      <c r="B49" t="s">
        <v>205</v>
      </c>
      <c r="C49" s="83">
        <v>0.06</v>
      </c>
      <c r="D49" s="82">
        <f t="shared" si="0"/>
        <v>80.55</v>
      </c>
    </row>
    <row r="50" spans="1:4">
      <c r="A50" s="64" t="s">
        <v>50</v>
      </c>
      <c r="B50" t="s">
        <v>84</v>
      </c>
      <c r="C50" s="74">
        <v>0.015</v>
      </c>
      <c r="D50" s="82">
        <f t="shared" si="0"/>
        <v>20.13</v>
      </c>
    </row>
    <row r="51" spans="1:4">
      <c r="A51" s="64" t="s">
        <v>53</v>
      </c>
      <c r="B51" t="s">
        <v>85</v>
      </c>
      <c r="C51" s="74">
        <v>0.01</v>
      </c>
      <c r="D51" s="82">
        <f t="shared" si="0"/>
        <v>13.42</v>
      </c>
    </row>
    <row r="52" spans="1:4">
      <c r="A52" s="64" t="s">
        <v>55</v>
      </c>
      <c r="B52" t="s">
        <v>86</v>
      </c>
      <c r="C52" s="74">
        <v>0.006</v>
      </c>
      <c r="D52" s="82">
        <f t="shared" si="0"/>
        <v>8.05</v>
      </c>
    </row>
    <row r="53" spans="1:4">
      <c r="A53" s="64" t="s">
        <v>87</v>
      </c>
      <c r="B53" t="s">
        <v>88</v>
      </c>
      <c r="C53" s="74">
        <v>0.002</v>
      </c>
      <c r="D53" s="82">
        <f t="shared" si="0"/>
        <v>2.68</v>
      </c>
    </row>
    <row r="54" spans="1:4">
      <c r="A54" s="64" t="s">
        <v>89</v>
      </c>
      <c r="B54" t="s">
        <v>90</v>
      </c>
      <c r="C54" s="74">
        <v>0.08</v>
      </c>
      <c r="D54" s="82">
        <f t="shared" si="0"/>
        <v>107.4</v>
      </c>
    </row>
    <row r="55" spans="1:4">
      <c r="A55" s="64" t="s">
        <v>58</v>
      </c>
      <c r="C55" s="81">
        <f>SUM(C47:C54)</f>
        <v>0.398</v>
      </c>
      <c r="D55" s="72">
        <f>TRUNC((SUM(D47:D54)),2)</f>
        <v>534.29</v>
      </c>
    </row>
    <row r="56" spans="1:4">
      <c r="A56" s="64"/>
      <c r="C56" s="81"/>
      <c r="D56" s="72"/>
    </row>
    <row r="57" spans="1:4">
      <c r="A57" s="63" t="s">
        <v>95</v>
      </c>
      <c r="B57" s="63"/>
      <c r="C57" s="63"/>
      <c r="D57" s="63"/>
    </row>
    <row r="58" spans="1:4">
      <c r="A58" s="64" t="s">
        <v>96</v>
      </c>
      <c r="B58" s="70" t="s">
        <v>97</v>
      </c>
      <c r="C58" s="64" t="s">
        <v>18</v>
      </c>
      <c r="D58" s="64" t="s">
        <v>19</v>
      </c>
    </row>
    <row r="59" spans="1:4">
      <c r="A59" s="64" t="s">
        <v>42</v>
      </c>
      <c r="B59" t="s">
        <v>98</v>
      </c>
      <c r="C59" s="65"/>
      <c r="D59" s="84">
        <v>0</v>
      </c>
    </row>
    <row r="60" spans="1:4">
      <c r="A60" s="64" t="s">
        <v>45</v>
      </c>
      <c r="B60" t="s">
        <v>99</v>
      </c>
      <c r="C60" s="65" t="str">
        <f>C9</f>
        <v>CCT PB000047/2021</v>
      </c>
      <c r="D60" s="67">
        <f>TRUNC((((22*18))-(((22*18))*0.2)),2)</f>
        <v>316.8</v>
      </c>
    </row>
    <row r="61" spans="1:4">
      <c r="A61" s="64" t="s">
        <v>48</v>
      </c>
      <c r="B61" t="s">
        <v>100</v>
      </c>
      <c r="C61" s="65"/>
      <c r="D61" s="67">
        <v>0</v>
      </c>
    </row>
    <row r="62" spans="1:6">
      <c r="A62" s="85" t="s">
        <v>50</v>
      </c>
      <c r="B62" s="86" t="s">
        <v>206</v>
      </c>
      <c r="C62" s="87"/>
      <c r="D62" s="87">
        <f>TRUNC(((((($D$25+$D$26+$D$28+$D$29)/220)*1.5)*(365/12))/2),2)</f>
        <v>116.55</v>
      </c>
      <c r="F62" s="86"/>
    </row>
    <row r="63" spans="1:4">
      <c r="A63" s="64" t="s">
        <v>53</v>
      </c>
      <c r="B63" s="70" t="s">
        <v>207</v>
      </c>
      <c r="C63" s="65" t="str">
        <f>C60</f>
        <v>CCT PB000047/2021</v>
      </c>
      <c r="D63" s="67">
        <v>15</v>
      </c>
    </row>
    <row r="64" spans="1:4">
      <c r="A64" s="64" t="s">
        <v>55</v>
      </c>
      <c r="B64" s="88" t="s">
        <v>208</v>
      </c>
      <c r="C64" s="87" t="str">
        <f>C60</f>
        <v>CCT PB000047/2021</v>
      </c>
      <c r="D64" s="67">
        <v>5</v>
      </c>
    </row>
    <row r="65" spans="1:4">
      <c r="A65" s="64" t="s">
        <v>58</v>
      </c>
      <c r="D65" s="72">
        <f>TRUNC((SUM(D59:D64)),2)</f>
        <v>453.35</v>
      </c>
    </row>
    <row r="66" spans="1:4">
      <c r="A66" s="64"/>
      <c r="D66" s="72"/>
    </row>
    <row r="67" spans="1:4">
      <c r="A67" s="63" t="s">
        <v>105</v>
      </c>
      <c r="B67" s="63"/>
      <c r="C67" s="63"/>
      <c r="D67" s="63"/>
    </row>
    <row r="68" spans="1:4">
      <c r="A68" s="64" t="s">
        <v>106</v>
      </c>
      <c r="B68" s="70" t="s">
        <v>107</v>
      </c>
      <c r="C68" s="64" t="s">
        <v>18</v>
      </c>
      <c r="D68" s="64" t="s">
        <v>19</v>
      </c>
    </row>
    <row r="69" spans="1:4">
      <c r="A69" s="64" t="s">
        <v>65</v>
      </c>
      <c r="B69" t="s">
        <v>66</v>
      </c>
      <c r="C69" s="64"/>
      <c r="D69" s="72">
        <f>D39</f>
        <v>218.54</v>
      </c>
    </row>
    <row r="70" spans="1:4">
      <c r="A70" s="64" t="s">
        <v>78</v>
      </c>
      <c r="B70" t="s">
        <v>79</v>
      </c>
      <c r="C70" s="64"/>
      <c r="D70" s="72">
        <f>D55</f>
        <v>534.29</v>
      </c>
    </row>
    <row r="71" spans="1:4">
      <c r="A71" s="64" t="s">
        <v>96</v>
      </c>
      <c r="B71" t="s">
        <v>97</v>
      </c>
      <c r="C71" s="64"/>
      <c r="D71" s="72">
        <f>D65</f>
        <v>453.35</v>
      </c>
    </row>
    <row r="72" spans="1:4">
      <c r="A72" s="64" t="s">
        <v>58</v>
      </c>
      <c r="C72" s="64"/>
      <c r="D72" s="72">
        <f>TRUNC((SUM(D69:D71)),2)</f>
        <v>1206.18</v>
      </c>
    </row>
    <row r="74" spans="1:4">
      <c r="A74" s="47" t="s">
        <v>108</v>
      </c>
      <c r="B74" s="47"/>
      <c r="C74" s="47"/>
      <c r="D74" s="47"/>
    </row>
    <row r="75" spans="1:4">
      <c r="A75" s="64" t="s">
        <v>109</v>
      </c>
      <c r="B75" s="70" t="s">
        <v>110</v>
      </c>
      <c r="C75" s="64" t="s">
        <v>38</v>
      </c>
      <c r="D75" s="64" t="s">
        <v>19</v>
      </c>
    </row>
    <row r="76" spans="1:4">
      <c r="A76" s="64" t="s">
        <v>42</v>
      </c>
      <c r="B76" t="s">
        <v>111</v>
      </c>
      <c r="C76" s="83">
        <f>((1/12)*5%)</f>
        <v>0.00416666666666667</v>
      </c>
      <c r="D76" s="67">
        <f>TRUNC(($D$31*C76),2)</f>
        <v>4.68</v>
      </c>
    </row>
    <row r="77" spans="1:4">
      <c r="A77" s="64" t="s">
        <v>45</v>
      </c>
      <c r="B77" t="s">
        <v>112</v>
      </c>
      <c r="C77" s="89">
        <v>0.08</v>
      </c>
      <c r="D77" s="72">
        <f>TRUNC(($D$76*C77),2)</f>
        <v>0.37</v>
      </c>
    </row>
    <row r="78" spans="1:4">
      <c r="A78" s="64" t="s">
        <v>48</v>
      </c>
      <c r="B78" s="90" t="s">
        <v>113</v>
      </c>
      <c r="C78" s="91">
        <f>(0.08*0.4*0.05)</f>
        <v>0.0016</v>
      </c>
      <c r="D78" s="87">
        <f>TRUNC(($D$31*C78),2)</f>
        <v>1.79</v>
      </c>
    </row>
    <row r="79" spans="1:4">
      <c r="A79" s="64" t="s">
        <v>50</v>
      </c>
      <c r="B79" t="s">
        <v>114</v>
      </c>
      <c r="C79" s="92">
        <f>(((7/30)/12)*0.95)</f>
        <v>0.0184722222222222</v>
      </c>
      <c r="D79" s="93">
        <f>TRUNC(($D$31*C79),2)</f>
        <v>20.76</v>
      </c>
    </row>
    <row r="80" ht="28.8" spans="1:4">
      <c r="A80" s="64" t="s">
        <v>53</v>
      </c>
      <c r="B80" s="90" t="s">
        <v>209</v>
      </c>
      <c r="C80" s="91">
        <f>C55</f>
        <v>0.398</v>
      </c>
      <c r="D80" s="87">
        <f>TRUNC(($D$79*C80),2)</f>
        <v>8.26</v>
      </c>
    </row>
    <row r="81" spans="1:4">
      <c r="A81" s="64" t="s">
        <v>55</v>
      </c>
      <c r="B81" s="90" t="s">
        <v>115</v>
      </c>
      <c r="C81" s="91">
        <f>(0.08*0.4*0.95)</f>
        <v>0.0304</v>
      </c>
      <c r="D81" s="87">
        <f>TRUNC(($D$31*C81),2)</f>
        <v>34.16</v>
      </c>
    </row>
    <row r="82" spans="1:4">
      <c r="A82" s="64" t="s">
        <v>58</v>
      </c>
      <c r="C82" s="89">
        <f>SUM(C76:C81)</f>
        <v>0.532638888888889</v>
      </c>
      <c r="D82" s="72">
        <f>TRUNC((SUM(D76:D81)),2)</f>
        <v>70.02</v>
      </c>
    </row>
    <row r="83" ht="15.15" spans="1:4">
      <c r="A83" s="64"/>
      <c r="D83" s="72"/>
    </row>
    <row r="84" ht="15.9" spans="1:4">
      <c r="A84" s="76" t="s">
        <v>210</v>
      </c>
      <c r="B84" s="76"/>
      <c r="C84" s="77" t="s">
        <v>202</v>
      </c>
      <c r="D84" s="78">
        <f>D31</f>
        <v>1124</v>
      </c>
    </row>
    <row r="85" ht="15.9" spans="1:4">
      <c r="A85" s="76"/>
      <c r="B85" s="76"/>
      <c r="C85" s="79" t="s">
        <v>211</v>
      </c>
      <c r="D85" s="78">
        <f>D72</f>
        <v>1206.18</v>
      </c>
    </row>
    <row r="86" ht="15.9" spans="1:4">
      <c r="A86" s="76"/>
      <c r="B86" s="76"/>
      <c r="C86" s="77" t="s">
        <v>212</v>
      </c>
      <c r="D86" s="78">
        <f>D82</f>
        <v>70.02</v>
      </c>
    </row>
    <row r="87" ht="15.9" spans="1:4">
      <c r="A87" s="76"/>
      <c r="B87" s="76"/>
      <c r="C87" s="79" t="s">
        <v>204</v>
      </c>
      <c r="D87" s="80">
        <f>TRUNC((SUM(D84:D86)),2)</f>
        <v>2400.2</v>
      </c>
    </row>
    <row r="88" ht="15.15" spans="1:4">
      <c r="A88" s="64"/>
      <c r="D88" s="72"/>
    </row>
    <row r="89" spans="1:4">
      <c r="A89" s="94" t="s">
        <v>127</v>
      </c>
      <c r="B89" s="94"/>
      <c r="C89" s="94"/>
      <c r="D89" s="94"/>
    </row>
    <row r="90" spans="1:4">
      <c r="A90" s="63" t="s">
        <v>128</v>
      </c>
      <c r="B90" s="63"/>
      <c r="C90" s="63"/>
      <c r="D90" s="63"/>
    </row>
    <row r="91" spans="1:4">
      <c r="A91" s="64" t="s">
        <v>129</v>
      </c>
      <c r="B91" s="70" t="s">
        <v>130</v>
      </c>
      <c r="C91" s="64" t="s">
        <v>38</v>
      </c>
      <c r="D91" s="64" t="s">
        <v>19</v>
      </c>
    </row>
    <row r="92" spans="1:4">
      <c r="A92" s="64" t="s">
        <v>42</v>
      </c>
      <c r="B92" t="s">
        <v>213</v>
      </c>
      <c r="C92" s="89">
        <f>(((1+1/3)/12)/12)+((1/12)/12)</f>
        <v>0.0162037037037037</v>
      </c>
      <c r="D92" s="72">
        <f>TRUNC(($D$87*C92),2)</f>
        <v>38.89</v>
      </c>
    </row>
    <row r="93" spans="1:4">
      <c r="A93" s="64" t="s">
        <v>45</v>
      </c>
      <c r="B93" t="s">
        <v>133</v>
      </c>
      <c r="C93" s="83">
        <f>((2/30)/12)</f>
        <v>0.00555555555555556</v>
      </c>
      <c r="D93" s="87">
        <f>TRUNC(($D$87*C93),2)</f>
        <v>13.33</v>
      </c>
    </row>
    <row r="94" spans="1:4">
      <c r="A94" s="64" t="s">
        <v>48</v>
      </c>
      <c r="B94" t="s">
        <v>134</v>
      </c>
      <c r="C94" s="83">
        <f>((5/30)/12)*0.02</f>
        <v>0.000277777777777778</v>
      </c>
      <c r="D94" s="87">
        <f>TRUNC(($D$87*C94),2)</f>
        <v>0.66</v>
      </c>
    </row>
    <row r="95" spans="1:4">
      <c r="A95" s="85" t="s">
        <v>50</v>
      </c>
      <c r="B95" s="90" t="s">
        <v>135</v>
      </c>
      <c r="C95" s="91">
        <f>((15/30)/12)*0.08</f>
        <v>0.00333333333333333</v>
      </c>
      <c r="D95" s="87">
        <f>TRUNC(($D$87*C95),2)</f>
        <v>8</v>
      </c>
    </row>
    <row r="96" spans="1:4">
      <c r="A96" s="64" t="s">
        <v>53</v>
      </c>
      <c r="B96" t="s">
        <v>136</v>
      </c>
      <c r="C96" s="83">
        <f>((1+1/3)/12)*0.03*((4/12))</f>
        <v>0.00111111111111111</v>
      </c>
      <c r="D96" s="87">
        <f>TRUNC(($D$87*C96),2)</f>
        <v>2.66</v>
      </c>
    </row>
    <row r="97" spans="1:4">
      <c r="A97" s="64" t="s">
        <v>55</v>
      </c>
      <c r="B97" s="90" t="s">
        <v>214</v>
      </c>
      <c r="C97" s="95">
        <v>0</v>
      </c>
      <c r="D97" s="87">
        <f>TRUNC($D$87*C97)</f>
        <v>0</v>
      </c>
    </row>
    <row r="98" spans="1:4">
      <c r="A98" s="64" t="s">
        <v>58</v>
      </c>
      <c r="C98" s="89">
        <f>SUM(C92:C97)</f>
        <v>0.0264814814814815</v>
      </c>
      <c r="D98" s="72">
        <f>TRUNC((SUM(D92:D97)),2)</f>
        <v>63.54</v>
      </c>
    </row>
    <row r="99" spans="1:4">
      <c r="A99" s="64"/>
      <c r="C99" s="64"/>
      <c r="D99" s="72"/>
    </row>
    <row r="100" spans="1:4">
      <c r="A100" s="63" t="s">
        <v>144</v>
      </c>
      <c r="B100" s="63"/>
      <c r="C100" s="63"/>
      <c r="D100" s="63"/>
    </row>
    <row r="101" spans="1:4">
      <c r="A101" s="64" t="s">
        <v>145</v>
      </c>
      <c r="B101" s="70" t="s">
        <v>146</v>
      </c>
      <c r="C101" s="64" t="s">
        <v>18</v>
      </c>
      <c r="D101" s="64" t="s">
        <v>19</v>
      </c>
    </row>
    <row r="102" ht="72" spans="1:4">
      <c r="A102" s="85" t="s">
        <v>42</v>
      </c>
      <c r="B102" s="96" t="s">
        <v>147</v>
      </c>
      <c r="C102" s="97" t="s">
        <v>215</v>
      </c>
      <c r="D102" s="98" t="s">
        <v>216</v>
      </c>
    </row>
    <row r="103" spans="1:4">
      <c r="A103" s="64" t="s">
        <v>58</v>
      </c>
      <c r="C103" s="64"/>
      <c r="D103" s="99" t="str">
        <f>D102</f>
        <v>*=TRUNCAR(($D$86/220)*(1*(365/12))/2)</v>
      </c>
    </row>
    <row r="105" spans="1:4">
      <c r="A105" s="63" t="s">
        <v>148</v>
      </c>
      <c r="B105" s="63"/>
      <c r="C105" s="63"/>
      <c r="D105" s="63"/>
    </row>
    <row r="106" spans="1:4">
      <c r="A106" s="64" t="s">
        <v>149</v>
      </c>
      <c r="B106" s="70" t="s">
        <v>150</v>
      </c>
      <c r="C106" s="64" t="s">
        <v>18</v>
      </c>
      <c r="D106" s="64" t="s">
        <v>19</v>
      </c>
    </row>
    <row r="107" spans="1:4">
      <c r="A107" s="64" t="s">
        <v>129</v>
      </c>
      <c r="B107" t="s">
        <v>130</v>
      </c>
      <c r="D107" s="67">
        <f>D98</f>
        <v>63.54</v>
      </c>
    </row>
    <row r="108" spans="1:4">
      <c r="A108" s="64" t="s">
        <v>145</v>
      </c>
      <c r="B108" t="s">
        <v>151</v>
      </c>
      <c r="C108" s="70"/>
      <c r="D108" s="100" t="str">
        <f>Submódulo4.260_55[[#Totals],[Valor]]</f>
        <v>*=TRUNCAR(($D$86/220)*(1*(365/12))/2)</v>
      </c>
    </row>
    <row r="109" ht="43.2" spans="1:4">
      <c r="A109" s="85" t="s">
        <v>58</v>
      </c>
      <c r="B109" s="86"/>
      <c r="C109" s="97" t="s">
        <v>217</v>
      </c>
      <c r="D109" s="101">
        <f>TRUNC((SUM(D107:D108)),2)</f>
        <v>63.54</v>
      </c>
    </row>
    <row r="111" spans="1:4">
      <c r="A111" s="47" t="s">
        <v>152</v>
      </c>
      <c r="B111" s="47"/>
      <c r="C111" s="47"/>
      <c r="D111" s="47"/>
    </row>
    <row r="112" spans="1:4">
      <c r="A112" s="85" t="s">
        <v>153</v>
      </c>
      <c r="B112" s="86" t="s">
        <v>154</v>
      </c>
      <c r="C112" s="85" t="s">
        <v>18</v>
      </c>
      <c r="D112" s="85" t="s">
        <v>19</v>
      </c>
    </row>
    <row r="113" spans="1:4">
      <c r="A113" s="64" t="s">
        <v>42</v>
      </c>
      <c r="B113" t="s">
        <v>218</v>
      </c>
      <c r="D113" s="102">
        <f>Uniformes!G26</f>
        <v>71.61</v>
      </c>
    </row>
    <row r="114" spans="1:4">
      <c r="A114" s="64" t="s">
        <v>45</v>
      </c>
      <c r="B114" t="s">
        <v>219</v>
      </c>
      <c r="D114" s="103">
        <v>0</v>
      </c>
    </row>
    <row r="115" spans="1:4">
      <c r="A115" s="64" t="s">
        <v>48</v>
      </c>
      <c r="B115" t="s">
        <v>156</v>
      </c>
      <c r="D115" s="102">
        <f>Materiais!G6</f>
        <v>4.75</v>
      </c>
    </row>
    <row r="116" spans="1:4">
      <c r="A116" s="64" t="s">
        <v>50</v>
      </c>
      <c r="B116" t="s">
        <v>157</v>
      </c>
      <c r="D116" s="67">
        <v>0</v>
      </c>
    </row>
    <row r="117" spans="1:4">
      <c r="A117" s="64" t="s">
        <v>53</v>
      </c>
      <c r="B117" t="s">
        <v>220</v>
      </c>
      <c r="D117" s="67">
        <f>H116</f>
        <v>0</v>
      </c>
    </row>
    <row r="118" spans="1:4">
      <c r="A118" s="64" t="s">
        <v>58</v>
      </c>
      <c r="D118" s="72">
        <f>TRUNC(SUM(D113:D117),2)</f>
        <v>76.36</v>
      </c>
    </row>
    <row r="119" ht="15.15"/>
    <row r="120" ht="15.9" spans="1:4">
      <c r="A120" s="76" t="s">
        <v>221</v>
      </c>
      <c r="B120" s="76"/>
      <c r="C120" s="77" t="s">
        <v>202</v>
      </c>
      <c r="D120" s="78">
        <f>D31</f>
        <v>1124</v>
      </c>
    </row>
    <row r="121" ht="15.9" spans="1:4">
      <c r="A121" s="76"/>
      <c r="B121" s="76"/>
      <c r="C121" s="79" t="s">
        <v>211</v>
      </c>
      <c r="D121" s="78">
        <f>D72</f>
        <v>1206.18</v>
      </c>
    </row>
    <row r="122" ht="15.9" spans="1:4">
      <c r="A122" s="76"/>
      <c r="B122" s="76"/>
      <c r="C122" s="77" t="s">
        <v>212</v>
      </c>
      <c r="D122" s="78">
        <f>D82</f>
        <v>70.02</v>
      </c>
    </row>
    <row r="123" ht="15.9" spans="1:4">
      <c r="A123" s="76"/>
      <c r="B123" s="76"/>
      <c r="C123" s="79" t="s">
        <v>222</v>
      </c>
      <c r="D123" s="78">
        <f>D109</f>
        <v>63.54</v>
      </c>
    </row>
    <row r="124" ht="15.9" spans="1:4">
      <c r="A124" s="76"/>
      <c r="B124" s="76"/>
      <c r="C124" s="77" t="s">
        <v>223</v>
      </c>
      <c r="D124" s="78">
        <f>D118</f>
        <v>76.36</v>
      </c>
    </row>
    <row r="125" ht="15.9" spans="1:4">
      <c r="A125" s="76"/>
      <c r="B125" s="76"/>
      <c r="C125" s="79" t="s">
        <v>204</v>
      </c>
      <c r="D125" s="80">
        <f>TRUNC((SUM(D120:D124)),2)</f>
        <v>2540.1</v>
      </c>
    </row>
    <row r="126" ht="15.15"/>
    <row r="127" spans="1:4">
      <c r="A127" s="47" t="s">
        <v>164</v>
      </c>
      <c r="B127" s="47"/>
      <c r="C127" s="47"/>
      <c r="D127" s="47"/>
    </row>
    <row r="128" spans="1:7">
      <c r="A128" s="64" t="s">
        <v>165</v>
      </c>
      <c r="B128" t="s">
        <v>166</v>
      </c>
      <c r="C128" s="64" t="s">
        <v>38</v>
      </c>
      <c r="D128" s="64" t="s">
        <v>19</v>
      </c>
      <c r="F128" s="104" t="s">
        <v>224</v>
      </c>
      <c r="G128" s="104"/>
    </row>
    <row r="129" ht="15.15" spans="1:7">
      <c r="A129" s="64" t="s">
        <v>42</v>
      </c>
      <c r="B129" t="s">
        <v>167</v>
      </c>
      <c r="C129" s="105">
        <v>0.044</v>
      </c>
      <c r="D129" s="102">
        <f>TRUNC(($D$125*C129),2)</f>
        <v>111.76</v>
      </c>
      <c r="F129" s="106" t="s">
        <v>225</v>
      </c>
      <c r="G129" s="91">
        <f>C131</f>
        <v>0.0865</v>
      </c>
    </row>
    <row r="130" ht="15.15" spans="1:7">
      <c r="A130" s="64" t="s">
        <v>45</v>
      </c>
      <c r="B130" t="s">
        <v>59</v>
      </c>
      <c r="C130" s="105">
        <v>0.0413</v>
      </c>
      <c r="D130" s="102">
        <f>TRUNC((C130*(D125+D129)),2)</f>
        <v>109.52</v>
      </c>
      <c r="F130" s="107" t="s">
        <v>226</v>
      </c>
      <c r="G130" s="108">
        <f>TRUNC(SUM(D125,D129,D130),2)</f>
        <v>2761.38</v>
      </c>
    </row>
    <row r="131" spans="1:7">
      <c r="A131" s="64" t="s">
        <v>48</v>
      </c>
      <c r="B131" t="s">
        <v>168</v>
      </c>
      <c r="C131" s="83">
        <f>SUM(C132:C134)</f>
        <v>0.0865</v>
      </c>
      <c r="D131" s="67">
        <f>TRUNC((SUM(D132:D134)),2)</f>
        <v>261.46</v>
      </c>
      <c r="F131" s="106" t="s">
        <v>227</v>
      </c>
      <c r="G131" s="109">
        <f>(100-8.65)/100</f>
        <v>0.9135</v>
      </c>
    </row>
    <row r="132" ht="15.15" spans="1:7">
      <c r="A132" s="64"/>
      <c r="B132" t="s">
        <v>228</v>
      </c>
      <c r="C132" s="83">
        <v>0.0065</v>
      </c>
      <c r="D132" s="67">
        <f>TRUNC(($G$132*C132),2)</f>
        <v>19.64</v>
      </c>
      <c r="F132" s="107" t="s">
        <v>224</v>
      </c>
      <c r="G132" s="108">
        <f>TRUNC((G130/G131),2)</f>
        <v>3022.85</v>
      </c>
    </row>
    <row r="133" ht="15.15" spans="1:4">
      <c r="A133" s="64"/>
      <c r="B133" t="s">
        <v>229</v>
      </c>
      <c r="C133" s="83">
        <v>0.03</v>
      </c>
      <c r="D133" s="67">
        <f>TRUNC(($G$132*C133),2)</f>
        <v>90.68</v>
      </c>
    </row>
    <row r="134" spans="1:4">
      <c r="A134" s="64"/>
      <c r="B134" t="s">
        <v>230</v>
      </c>
      <c r="C134" s="83">
        <v>0.05</v>
      </c>
      <c r="D134" s="67">
        <f>TRUNC(($G$132*C134),2)</f>
        <v>151.14</v>
      </c>
    </row>
    <row r="135" spans="1:4">
      <c r="A135" s="64" t="s">
        <v>58</v>
      </c>
      <c r="C135" s="110"/>
      <c r="D135" s="72">
        <f>TRUNC(SUM(D129:D131),2)</f>
        <v>482.74</v>
      </c>
    </row>
    <row r="136" spans="1:4">
      <c r="A136" s="64"/>
      <c r="C136" s="110"/>
      <c r="D136" s="72"/>
    </row>
    <row r="138" spans="1:4">
      <c r="A138" s="47" t="s">
        <v>172</v>
      </c>
      <c r="B138" s="47"/>
      <c r="C138" s="47"/>
      <c r="D138" s="47"/>
    </row>
    <row r="139" spans="1:4">
      <c r="A139" s="64" t="s">
        <v>16</v>
      </c>
      <c r="B139" s="64" t="s">
        <v>173</v>
      </c>
      <c r="C139" s="64" t="s">
        <v>102</v>
      </c>
      <c r="D139" s="64" t="s">
        <v>19</v>
      </c>
    </row>
    <row r="140" spans="1:4">
      <c r="A140" s="64" t="s">
        <v>42</v>
      </c>
      <c r="B140" t="s">
        <v>36</v>
      </c>
      <c r="D140" s="72">
        <f>D31</f>
        <v>1124</v>
      </c>
    </row>
    <row r="141" spans="1:4">
      <c r="A141" s="64" t="s">
        <v>45</v>
      </c>
      <c r="B141" t="s">
        <v>61</v>
      </c>
      <c r="D141" s="72">
        <f>D72</f>
        <v>1206.18</v>
      </c>
    </row>
    <row r="142" spans="1:4">
      <c r="A142" s="64" t="s">
        <v>48</v>
      </c>
      <c r="B142" t="s">
        <v>108</v>
      </c>
      <c r="D142" s="72">
        <f>D82</f>
        <v>70.02</v>
      </c>
    </row>
    <row r="143" spans="1:4">
      <c r="A143" s="64" t="s">
        <v>50</v>
      </c>
      <c r="B143" t="s">
        <v>174</v>
      </c>
      <c r="D143" s="72">
        <f>D109</f>
        <v>63.54</v>
      </c>
    </row>
    <row r="144" spans="1:4">
      <c r="A144" s="64" t="s">
        <v>53</v>
      </c>
      <c r="B144" t="s">
        <v>152</v>
      </c>
      <c r="D144" s="72">
        <f>D118</f>
        <v>76.36</v>
      </c>
    </row>
    <row r="145" spans="2:4">
      <c r="B145" s="111" t="s">
        <v>175</v>
      </c>
      <c r="D145" s="72">
        <f>TRUNC(SUM(D140:D144),2)</f>
        <v>2540.1</v>
      </c>
    </row>
    <row r="146" spans="1:4">
      <c r="A146" s="64" t="s">
        <v>55</v>
      </c>
      <c r="B146" t="s">
        <v>164</v>
      </c>
      <c r="D146" s="72">
        <f>D135</f>
        <v>482.74</v>
      </c>
    </row>
    <row r="147" spans="1:4">
      <c r="A147" s="112"/>
      <c r="B147" s="113" t="s">
        <v>231</v>
      </c>
      <c r="C147" s="112"/>
      <c r="D147" s="114">
        <f>TRUNC((SUM(D140:D144)+D146),2)</f>
        <v>3022.84</v>
      </c>
    </row>
    <row r="148" spans="1:4">
      <c r="A148" s="115"/>
      <c r="B148" s="116" t="s">
        <v>236</v>
      </c>
      <c r="C148" s="115"/>
      <c r="D148" s="117">
        <f>TRUNC(D147*2,2)</f>
        <v>6045.68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zoomScale="90" zoomScaleNormal="90" topLeftCell="A16" workbookViewId="0">
      <selection activeCell="K25" sqref="K25"/>
    </sheetView>
  </sheetViews>
  <sheetFormatPr defaultColWidth="9.13888888888889" defaultRowHeight="14.4" outlineLevelCol="7"/>
  <cols>
    <col min="2" max="2" width="13.1574074074074" style="20" customWidth="1"/>
    <col min="3" max="3" width="39.3611111111111" customWidth="1"/>
    <col min="4" max="4" width="13.7037037037037" style="21" customWidth="1"/>
    <col min="5" max="5" width="11.3518518518519" customWidth="1"/>
    <col min="6" max="6" width="15.9166666666667" customWidth="1"/>
    <col min="7" max="7" width="17.037037037037" customWidth="1"/>
    <col min="8" max="8" width="17.7685185185185" customWidth="1"/>
  </cols>
  <sheetData>
    <row r="1" spans="1:8">
      <c r="A1" s="22" t="s">
        <v>237</v>
      </c>
      <c r="B1" s="23"/>
      <c r="C1" s="22"/>
      <c r="D1" s="24"/>
      <c r="E1" s="22"/>
      <c r="F1" s="22"/>
      <c r="G1" s="22"/>
      <c r="H1" s="22"/>
    </row>
    <row r="2" spans="1:8">
      <c r="A2" s="25" t="s">
        <v>238</v>
      </c>
      <c r="B2" s="26"/>
      <c r="C2" s="25"/>
      <c r="D2" s="27"/>
      <c r="E2" s="25"/>
      <c r="F2" s="25"/>
      <c r="G2" s="25"/>
      <c r="H2" s="25"/>
    </row>
    <row r="3" ht="57.6" spans="1:8">
      <c r="A3" s="28" t="s">
        <v>239</v>
      </c>
      <c r="B3" s="28" t="s">
        <v>240</v>
      </c>
      <c r="C3" s="28" t="s">
        <v>241</v>
      </c>
      <c r="D3" s="28" t="s">
        <v>242</v>
      </c>
      <c r="E3" s="28" t="s">
        <v>243</v>
      </c>
      <c r="F3" s="28" t="s">
        <v>244</v>
      </c>
      <c r="G3" s="28" t="s">
        <v>245</v>
      </c>
      <c r="H3" s="28" t="s">
        <v>246</v>
      </c>
    </row>
    <row r="4" ht="27.6" spans="1:8">
      <c r="A4" s="29">
        <v>1</v>
      </c>
      <c r="B4" s="30" t="s">
        <v>247</v>
      </c>
      <c r="C4" s="31" t="s">
        <v>248</v>
      </c>
      <c r="D4" s="30" t="s">
        <v>249</v>
      </c>
      <c r="E4" s="32">
        <v>62.9</v>
      </c>
      <c r="F4" s="30">
        <v>4</v>
      </c>
      <c r="G4" s="33">
        <f t="shared" ref="G4:G10" si="0">TRUNC(F4*E4,2)</f>
        <v>251.6</v>
      </c>
      <c r="H4" s="33">
        <f t="shared" ref="H4:H10" si="1">TRUNC(G4/12,2)</f>
        <v>20.96</v>
      </c>
    </row>
    <row r="5" ht="41.4" spans="1:8">
      <c r="A5" s="29">
        <v>2</v>
      </c>
      <c r="B5" s="30" t="s">
        <v>250</v>
      </c>
      <c r="C5" s="31" t="s">
        <v>251</v>
      </c>
      <c r="D5" s="30" t="s">
        <v>249</v>
      </c>
      <c r="E5" s="32">
        <v>145</v>
      </c>
      <c r="F5" s="30">
        <v>2</v>
      </c>
      <c r="G5" s="33">
        <f t="shared" si="0"/>
        <v>290</v>
      </c>
      <c r="H5" s="33">
        <f t="shared" si="1"/>
        <v>24.16</v>
      </c>
    </row>
    <row r="6" ht="55.2" spans="1:8">
      <c r="A6" s="29">
        <v>3</v>
      </c>
      <c r="B6" s="30" t="s">
        <v>252</v>
      </c>
      <c r="C6" s="31" t="s">
        <v>253</v>
      </c>
      <c r="D6" s="30" t="s">
        <v>249</v>
      </c>
      <c r="E6" s="32">
        <v>66.98</v>
      </c>
      <c r="F6" s="30">
        <v>4</v>
      </c>
      <c r="G6" s="33">
        <f t="shared" si="0"/>
        <v>267.92</v>
      </c>
      <c r="H6" s="33">
        <f t="shared" si="1"/>
        <v>22.32</v>
      </c>
    </row>
    <row r="7" ht="55.2" spans="1:8">
      <c r="A7" s="29">
        <v>4</v>
      </c>
      <c r="B7" s="30" t="s">
        <v>252</v>
      </c>
      <c r="C7" s="31" t="s">
        <v>254</v>
      </c>
      <c r="D7" s="30" t="s">
        <v>249</v>
      </c>
      <c r="E7" s="32">
        <v>24.99</v>
      </c>
      <c r="F7" s="30">
        <v>4</v>
      </c>
      <c r="G7" s="33">
        <f t="shared" si="0"/>
        <v>99.96</v>
      </c>
      <c r="H7" s="33">
        <f t="shared" si="1"/>
        <v>8.33</v>
      </c>
    </row>
    <row r="8" ht="27.6" spans="1:8">
      <c r="A8" s="29">
        <v>5</v>
      </c>
      <c r="B8" s="30" t="s">
        <v>255</v>
      </c>
      <c r="C8" s="31" t="s">
        <v>256</v>
      </c>
      <c r="D8" s="30" t="s">
        <v>257</v>
      </c>
      <c r="E8" s="32">
        <v>79.29</v>
      </c>
      <c r="F8" s="30">
        <v>2</v>
      </c>
      <c r="G8" s="33">
        <f t="shared" si="0"/>
        <v>158.58</v>
      </c>
      <c r="H8" s="33">
        <f t="shared" si="1"/>
        <v>13.21</v>
      </c>
    </row>
    <row r="9" ht="41.4" spans="1:8">
      <c r="A9" s="29">
        <v>6</v>
      </c>
      <c r="B9" s="30" t="s">
        <v>258</v>
      </c>
      <c r="C9" s="31" t="s">
        <v>259</v>
      </c>
      <c r="D9" s="30" t="s">
        <v>257</v>
      </c>
      <c r="E9" s="32">
        <v>8.82</v>
      </c>
      <c r="F9" s="30">
        <v>4</v>
      </c>
      <c r="G9" s="33">
        <f t="shared" si="0"/>
        <v>35.28</v>
      </c>
      <c r="H9" s="33">
        <f t="shared" si="1"/>
        <v>2.94</v>
      </c>
    </row>
    <row r="10" ht="41.4" spans="1:8">
      <c r="A10" s="29">
        <v>7</v>
      </c>
      <c r="B10" s="30" t="s">
        <v>260</v>
      </c>
      <c r="C10" s="31" t="s">
        <v>261</v>
      </c>
      <c r="D10" s="30" t="s">
        <v>249</v>
      </c>
      <c r="E10" s="32">
        <v>5.8</v>
      </c>
      <c r="F10" s="30">
        <v>1</v>
      </c>
      <c r="G10" s="33">
        <f t="shared" si="0"/>
        <v>5.8</v>
      </c>
      <c r="H10" s="33">
        <f t="shared" si="1"/>
        <v>0.48</v>
      </c>
    </row>
    <row r="11" spans="1:8">
      <c r="A11" s="34" t="s">
        <v>204</v>
      </c>
      <c r="B11" s="34"/>
      <c r="C11" s="34"/>
      <c r="D11" s="34"/>
      <c r="E11" s="34"/>
      <c r="F11" s="34"/>
      <c r="G11" s="35">
        <f>TRUNC(SUM(H4:H10),2)</f>
        <v>92.4</v>
      </c>
      <c r="H11" s="35"/>
    </row>
    <row r="12" spans="1:8">
      <c r="A12" s="36"/>
      <c r="B12" s="37"/>
      <c r="C12" s="36"/>
      <c r="D12" s="38"/>
      <c r="E12" s="36"/>
      <c r="F12" s="36"/>
      <c r="G12" s="36"/>
      <c r="H12" s="36"/>
    </row>
    <row r="13" spans="1:8">
      <c r="A13" s="36"/>
      <c r="B13" s="37"/>
      <c r="C13" s="36"/>
      <c r="D13" s="38"/>
      <c r="E13" s="36"/>
      <c r="F13" s="36"/>
      <c r="G13" s="36"/>
      <c r="H13" s="36"/>
    </row>
    <row r="16" spans="1:8">
      <c r="A16" s="22" t="s">
        <v>237</v>
      </c>
      <c r="B16" s="23"/>
      <c r="C16" s="22"/>
      <c r="D16" s="24"/>
      <c r="E16" s="22"/>
      <c r="F16" s="22"/>
      <c r="G16" s="22"/>
      <c r="H16" s="22"/>
    </row>
    <row r="17" spans="1:8">
      <c r="A17" s="25" t="s">
        <v>262</v>
      </c>
      <c r="B17" s="26"/>
      <c r="C17" s="25"/>
      <c r="D17" s="27"/>
      <c r="E17" s="25"/>
      <c r="F17" s="25"/>
      <c r="G17" s="25"/>
      <c r="H17" s="25"/>
    </row>
    <row r="18" ht="57.6" spans="1:8">
      <c r="A18" s="28" t="s">
        <v>239</v>
      </c>
      <c r="B18" s="28" t="s">
        <v>240</v>
      </c>
      <c r="C18" s="28" t="s">
        <v>241</v>
      </c>
      <c r="D18" s="28" t="s">
        <v>242</v>
      </c>
      <c r="E18" s="28" t="s">
        <v>243</v>
      </c>
      <c r="F18" s="28" t="s">
        <v>244</v>
      </c>
      <c r="G18" s="28" t="s">
        <v>245</v>
      </c>
      <c r="H18" s="28" t="s">
        <v>246</v>
      </c>
    </row>
    <row r="19" ht="27.6" spans="1:8">
      <c r="A19" s="29">
        <v>1</v>
      </c>
      <c r="B19" s="30" t="s">
        <v>247</v>
      </c>
      <c r="C19" s="31" t="s">
        <v>248</v>
      </c>
      <c r="D19" s="30" t="s">
        <v>249</v>
      </c>
      <c r="E19" s="32">
        <v>62.9</v>
      </c>
      <c r="F19" s="30">
        <v>4</v>
      </c>
      <c r="G19" s="33">
        <f t="shared" ref="G19:G25" si="2">TRUNC(F19*E19,2)</f>
        <v>251.6</v>
      </c>
      <c r="H19" s="33">
        <f t="shared" ref="H19:H25" si="3">TRUNC(G19/12,2)</f>
        <v>20.96</v>
      </c>
    </row>
    <row r="20" ht="55.2" spans="1:8">
      <c r="A20" s="29">
        <v>2</v>
      </c>
      <c r="B20" s="30" t="s">
        <v>252</v>
      </c>
      <c r="C20" s="31" t="s">
        <v>253</v>
      </c>
      <c r="D20" s="30" t="s">
        <v>249</v>
      </c>
      <c r="E20" s="32">
        <v>66.98</v>
      </c>
      <c r="F20" s="30">
        <v>4</v>
      </c>
      <c r="G20" s="33">
        <f t="shared" si="2"/>
        <v>267.92</v>
      </c>
      <c r="H20" s="33">
        <f t="shared" si="3"/>
        <v>22.32</v>
      </c>
    </row>
    <row r="21" ht="55.2" spans="1:8">
      <c r="A21" s="29">
        <v>3</v>
      </c>
      <c r="B21" s="30" t="s">
        <v>252</v>
      </c>
      <c r="C21" s="31" t="s">
        <v>254</v>
      </c>
      <c r="D21" s="30" t="s">
        <v>249</v>
      </c>
      <c r="E21" s="32">
        <v>24.99</v>
      </c>
      <c r="F21" s="30">
        <v>4</v>
      </c>
      <c r="G21" s="33">
        <f t="shared" si="2"/>
        <v>99.96</v>
      </c>
      <c r="H21" s="33">
        <f t="shared" si="3"/>
        <v>8.33</v>
      </c>
    </row>
    <row r="22" ht="27.6" spans="1:8">
      <c r="A22" s="29">
        <v>4</v>
      </c>
      <c r="B22" s="30" t="s">
        <v>255</v>
      </c>
      <c r="C22" s="31" t="s">
        <v>256</v>
      </c>
      <c r="D22" s="30" t="s">
        <v>257</v>
      </c>
      <c r="E22" s="32">
        <v>79.29</v>
      </c>
      <c r="F22" s="30">
        <v>2</v>
      </c>
      <c r="G22" s="33">
        <f t="shared" si="2"/>
        <v>158.58</v>
      </c>
      <c r="H22" s="33">
        <f t="shared" si="3"/>
        <v>13.21</v>
      </c>
    </row>
    <row r="23" ht="41.4" spans="1:8">
      <c r="A23" s="29">
        <v>5</v>
      </c>
      <c r="B23" s="30" t="s">
        <v>258</v>
      </c>
      <c r="C23" s="31" t="s">
        <v>259</v>
      </c>
      <c r="D23" s="30" t="s">
        <v>257</v>
      </c>
      <c r="E23" s="32">
        <v>8.82</v>
      </c>
      <c r="F23" s="30">
        <v>4</v>
      </c>
      <c r="G23" s="33">
        <f t="shared" si="2"/>
        <v>35.28</v>
      </c>
      <c r="H23" s="33">
        <f t="shared" si="3"/>
        <v>2.94</v>
      </c>
    </row>
    <row r="24" ht="28.8" spans="1:8">
      <c r="A24" s="29">
        <v>6</v>
      </c>
      <c r="B24" s="30" t="s">
        <v>263</v>
      </c>
      <c r="C24" s="39" t="s">
        <v>264</v>
      </c>
      <c r="D24" s="30" t="s">
        <v>249</v>
      </c>
      <c r="E24" s="32">
        <v>20.23</v>
      </c>
      <c r="F24" s="30">
        <v>2</v>
      </c>
      <c r="G24" s="33">
        <f t="shared" si="2"/>
        <v>40.46</v>
      </c>
      <c r="H24" s="33">
        <f t="shared" si="3"/>
        <v>3.37</v>
      </c>
    </row>
    <row r="25" ht="41.4" spans="1:8">
      <c r="A25" s="29">
        <v>7</v>
      </c>
      <c r="B25" s="30" t="s">
        <v>260</v>
      </c>
      <c r="C25" s="31" t="s">
        <v>261</v>
      </c>
      <c r="D25" s="30" t="s">
        <v>249</v>
      </c>
      <c r="E25" s="32">
        <v>5.8</v>
      </c>
      <c r="F25" s="30">
        <v>1</v>
      </c>
      <c r="G25" s="33">
        <f t="shared" si="2"/>
        <v>5.8</v>
      </c>
      <c r="H25" s="33">
        <f t="shared" si="3"/>
        <v>0.48</v>
      </c>
    </row>
    <row r="26" spans="1:8">
      <c r="A26" s="34" t="s">
        <v>204</v>
      </c>
      <c r="B26" s="34"/>
      <c r="C26" s="34"/>
      <c r="D26" s="34"/>
      <c r="E26" s="34"/>
      <c r="F26" s="34"/>
      <c r="G26" s="35">
        <f>TRUNC(SUM(H19:H25),2)</f>
        <v>71.61</v>
      </c>
      <c r="H26" s="35"/>
    </row>
  </sheetData>
  <mergeCells count="8">
    <mergeCell ref="A1:H1"/>
    <mergeCell ref="A2:H2"/>
    <mergeCell ref="A11:F11"/>
    <mergeCell ref="G11:H11"/>
    <mergeCell ref="A16:H16"/>
    <mergeCell ref="A17:H17"/>
    <mergeCell ref="A26:F26"/>
    <mergeCell ref="G26:H26"/>
  </mergeCells>
  <pageMargins left="0.75" right="0.75" top="1" bottom="1" header="0.5" footer="0.5"/>
  <pageSetup paperSize="9" orientation="portrait"/>
  <headerFooter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opLeftCell="A2" workbookViewId="0">
      <selection activeCell="F9" sqref="F9"/>
    </sheetView>
  </sheetViews>
  <sheetFormatPr defaultColWidth="8.88888888888889" defaultRowHeight="14.4" outlineLevelRow="5" outlineLevelCol="6"/>
  <cols>
    <col min="2" max="2" width="20.6666666666667" customWidth="1"/>
    <col min="3" max="3" width="27" customWidth="1"/>
    <col min="4" max="4" width="10.5555555555556" customWidth="1"/>
    <col min="5" max="5" width="11.2222222222222" customWidth="1"/>
    <col min="6" max="6" width="12.7777777777778" customWidth="1"/>
    <col min="7" max="7" width="12.5555555555556" customWidth="1"/>
  </cols>
  <sheetData>
    <row r="1" spans="1:7">
      <c r="A1" s="11" t="s">
        <v>156</v>
      </c>
      <c r="B1" s="11"/>
      <c r="C1" s="11" t="s">
        <v>156</v>
      </c>
      <c r="D1" s="11"/>
      <c r="E1" s="11"/>
      <c r="F1" s="11"/>
      <c r="G1" s="11"/>
    </row>
    <row r="2" ht="57.6" spans="1:7">
      <c r="A2" s="4" t="s">
        <v>16</v>
      </c>
      <c r="B2" s="4" t="s">
        <v>265</v>
      </c>
      <c r="C2" s="4" t="s">
        <v>17</v>
      </c>
      <c r="D2" s="4" t="s">
        <v>266</v>
      </c>
      <c r="E2" s="4" t="s">
        <v>267</v>
      </c>
      <c r="F2" s="4" t="s">
        <v>268</v>
      </c>
      <c r="G2" s="4" t="s">
        <v>269</v>
      </c>
    </row>
    <row r="3" ht="57.6" spans="1:7">
      <c r="A3" s="12">
        <v>1</v>
      </c>
      <c r="B3" s="12" t="s">
        <v>270</v>
      </c>
      <c r="C3" s="13" t="s">
        <v>271</v>
      </c>
      <c r="D3" s="14">
        <v>64.34</v>
      </c>
      <c r="E3" s="15">
        <v>1</v>
      </c>
      <c r="F3" s="16">
        <f>Table43_2[[#This Row],[Quantidade Anual]]*Table43_2[[#This Row],[Valor Médio Unitário (R$)]]/2</f>
        <v>32.17</v>
      </c>
      <c r="G3" s="16">
        <f>Table43_2[[#This Row],[Valor Anual/ Empregado (R$)]]/12</f>
        <v>2.68083333333333</v>
      </c>
    </row>
    <row r="4" ht="86.4" spans="1:7">
      <c r="A4" s="12">
        <v>2</v>
      </c>
      <c r="B4" s="12" t="s">
        <v>272</v>
      </c>
      <c r="C4" s="13" t="s">
        <v>273</v>
      </c>
      <c r="D4" s="17">
        <v>1.44</v>
      </c>
      <c r="E4" s="15">
        <v>4</v>
      </c>
      <c r="F4" s="16">
        <f>Table43_2[[#This Row],[Quantidade Anual]]*Table43_2[[#This Row],[Valor Médio Unitário (R$)]]/2</f>
        <v>2.88</v>
      </c>
      <c r="G4" s="16">
        <f>Table43_2[[#This Row],[Valor Anual/ Empregado (R$)]]/12</f>
        <v>0.24</v>
      </c>
    </row>
    <row r="5" ht="57.6" spans="1:7">
      <c r="A5" s="12">
        <v>3</v>
      </c>
      <c r="B5" s="18" t="s">
        <v>274</v>
      </c>
      <c r="C5" s="13" t="s">
        <v>275</v>
      </c>
      <c r="D5" s="17">
        <v>43.9</v>
      </c>
      <c r="E5" s="15">
        <v>1</v>
      </c>
      <c r="F5" s="16">
        <f>Table43_2[[#This Row],[Quantidade Anual]]*Table43_2[[#This Row],[Valor Médio Unitário (R$)]]/2</f>
        <v>21.95</v>
      </c>
      <c r="G5" s="16">
        <f>Table43_2[[#This Row],[Valor Anual/ Empregado (R$)]]/12</f>
        <v>1.82916666666667</v>
      </c>
    </row>
    <row r="6" spans="1:7">
      <c r="A6" s="5" t="s">
        <v>58</v>
      </c>
      <c r="B6" s="5"/>
      <c r="C6" s="5"/>
      <c r="D6" s="5"/>
      <c r="E6" s="5"/>
      <c r="F6" s="5"/>
      <c r="G6" s="19">
        <f>SUBTOTAL(109,Table43_2[Valor Mensal/ Empregado])</f>
        <v>4.75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F8" sqref="F8"/>
    </sheetView>
  </sheetViews>
  <sheetFormatPr defaultColWidth="8.88888888888889" defaultRowHeight="14.4" outlineLevelRow="7" outlineLevelCol="6"/>
  <cols>
    <col min="2" max="2" width="31" customWidth="1"/>
    <col min="3" max="3" width="9.33333333333333" customWidth="1"/>
    <col min="4" max="4" width="14.2222222222222" customWidth="1"/>
    <col min="5" max="5" width="13.3333333333333" customWidth="1"/>
    <col min="6" max="6" width="14.8888888888889" customWidth="1"/>
    <col min="7" max="7" width="15" customWidth="1"/>
  </cols>
  <sheetData>
    <row r="1" ht="15.15" spans="1:7">
      <c r="A1" s="1" t="s">
        <v>276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249</v>
      </c>
      <c r="D2" s="4" t="s">
        <v>277</v>
      </c>
      <c r="E2" s="4" t="s">
        <v>278</v>
      </c>
      <c r="F2" s="4" t="s">
        <v>279</v>
      </c>
      <c r="G2" s="4" t="s">
        <v>280</v>
      </c>
    </row>
    <row r="3" ht="86.4" spans="1:7">
      <c r="A3" s="5">
        <v>1</v>
      </c>
      <c r="B3" s="6" t="s">
        <v>281</v>
      </c>
      <c r="C3" s="4" t="s">
        <v>282</v>
      </c>
      <c r="D3" s="5">
        <v>1</v>
      </c>
      <c r="E3" s="5">
        <v>12</v>
      </c>
      <c r="F3" s="7">
        <f>'Auxiliar Administrativo'!D147</f>
        <v>3129.19</v>
      </c>
      <c r="G3" s="7">
        <f>(D3*F3)*(E3)</f>
        <v>37550.28</v>
      </c>
    </row>
    <row r="4" ht="115.2" spans="1:7">
      <c r="A4" s="5">
        <v>2</v>
      </c>
      <c r="B4" s="6" t="s">
        <v>283</v>
      </c>
      <c r="C4" s="4" t="s">
        <v>282</v>
      </c>
      <c r="D4" s="5">
        <v>1</v>
      </c>
      <c r="E4" s="5">
        <v>12</v>
      </c>
      <c r="F4" s="7">
        <f>Portaria!D148</f>
        <v>6045.68</v>
      </c>
      <c r="G4" s="7">
        <f>(D4*F4)*(E4)</f>
        <v>72548.16</v>
      </c>
    </row>
    <row r="5" spans="1:7">
      <c r="A5" s="8" t="s">
        <v>204</v>
      </c>
      <c r="B5" s="8"/>
      <c r="C5" s="8"/>
      <c r="D5" s="8"/>
      <c r="E5" s="8"/>
      <c r="F5" s="8"/>
      <c r="G5" s="9">
        <f>SUM(G3:G4)</f>
        <v>110098.44</v>
      </c>
    </row>
    <row r="6" spans="1:7">
      <c r="A6" s="10"/>
      <c r="B6" s="10"/>
      <c r="C6" s="10"/>
      <c r="D6" s="10"/>
      <c r="E6" s="10"/>
      <c r="F6" s="10"/>
      <c r="G6" s="10"/>
    </row>
    <row r="7" spans="1:7">
      <c r="A7" s="8"/>
      <c r="B7" s="8"/>
      <c r="C7" s="8"/>
      <c r="D7" s="8"/>
      <c r="E7" s="8"/>
      <c r="F7" s="8"/>
      <c r="G7" s="8"/>
    </row>
    <row r="8" spans="1:7">
      <c r="A8" s="8"/>
      <c r="B8" s="8"/>
      <c r="C8" s="8"/>
      <c r="D8" s="8"/>
      <c r="E8" s="8"/>
      <c r="F8" s="8"/>
      <c r="G8" s="8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Auxiliar Administrativo</vt:lpstr>
      <vt:lpstr>Portaria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rayan</cp:lastModifiedBy>
  <cp:revision>3</cp:revision>
  <dcterms:created xsi:type="dcterms:W3CDTF">2019-02-19T21:25:00Z</dcterms:created>
  <cp:lastPrinted>2020-02-20T19:26:00Z</cp:lastPrinted>
  <dcterms:modified xsi:type="dcterms:W3CDTF">2021-07-26T17:07:34Z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1046-11.2.0.10223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